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C:\Users\Admin\Desktop\Thong tu LPUNC 6-5\HO SO XIN Y KIEN CAC DON VI\Ho so DIu gui 15-6 PM\Ho so gui To soan thao chieu 15-6\Ho so 16-6\Gui To Soan thao 17-6\"/>
    </mc:Choice>
  </mc:AlternateContent>
  <xr:revisionPtr revIDLastSave="0" documentId="8_{CCADE9F0-EB75-4C0E-8FF7-444421550A8F}" xr6:coauthVersionLast="47" xr6:coauthVersionMax="47" xr10:uidLastSave="{00000000-0000-0000-0000-000000000000}"/>
  <bookViews>
    <workbookView xWindow="-120" yWindow="-120" windowWidth="20730" windowHeight="11040" firstSheet="4" activeTab="6" xr2:uid="{00000000-000D-0000-FFFF-FFFF00000000}"/>
  </bookViews>
  <sheets>
    <sheet name="Tong hop" sheetId="1" r:id="rId1"/>
    <sheet name="1. SĐ ĐĐ, CTVHT, CDHĐ, NCCT" sheetId="2" r:id="rId2"/>
    <sheet name="2. Phê duyệt Tke" sheetId="3" r:id="rId3"/>
    <sheet name="3. SĐ GPVHT,VH" sheetId="8" r:id="rId4"/>
    <sheet name="4. GH GPVHT, VH" sheetId="6" r:id="rId5"/>
    <sheet name="5. TT VHT-Thaodo-Congnhan" sheetId="7" r:id="rId6"/>
    <sheet name="6. KH dung lo-Chamdut" sheetId="11"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 i="7" l="1"/>
  <c r="G19" i="6"/>
  <c r="G18" i="6"/>
  <c r="G19" i="3"/>
  <c r="G22" i="3"/>
  <c r="G15" i="6"/>
  <c r="G14" i="6"/>
  <c r="G28" i="8"/>
  <c r="G18" i="8"/>
  <c r="G17" i="8"/>
  <c r="G16" i="8"/>
  <c r="G15" i="8"/>
  <c r="G23" i="3"/>
  <c r="G33" i="3"/>
  <c r="G16" i="3"/>
  <c r="G17" i="3"/>
  <c r="G21" i="3" l="1"/>
  <c r="G20" i="3"/>
  <c r="G33" i="2" l="1"/>
  <c r="G21" i="2"/>
  <c r="G15" i="2"/>
  <c r="G14" i="2"/>
  <c r="G16" i="2"/>
  <c r="G17" i="2"/>
  <c r="G22" i="2"/>
  <c r="G27" i="11"/>
  <c r="G32" i="7"/>
  <c r="K32" i="7"/>
  <c r="L32" i="7" s="1"/>
  <c r="K17" i="7" l="1"/>
  <c r="L17" i="7" s="1"/>
  <c r="G17" i="7"/>
  <c r="G16" i="7"/>
  <c r="K16" i="7" s="1"/>
  <c r="L16" i="7" s="1"/>
  <c r="G21" i="7"/>
  <c r="K21" i="7" s="1"/>
  <c r="L21" i="7" s="1"/>
  <c r="G20" i="7"/>
  <c r="K20" i="7" s="1"/>
  <c r="L20" i="7" s="1"/>
  <c r="K19" i="6"/>
  <c r="L19" i="6" s="1"/>
  <c r="K21" i="2"/>
  <c r="L21" i="2" s="1"/>
  <c r="G23" i="2"/>
  <c r="K23" i="2" s="1"/>
  <c r="L23" i="2" s="1"/>
  <c r="K22" i="2"/>
  <c r="L22" i="2" s="1"/>
  <c r="K17" i="2"/>
  <c r="L17" i="2" s="1"/>
  <c r="K16" i="2"/>
  <c r="L16" i="2" s="1"/>
  <c r="K15" i="2"/>
  <c r="L15" i="2" s="1"/>
  <c r="K14" i="2"/>
  <c r="L14" i="2" s="1"/>
  <c r="G27" i="8" l="1"/>
  <c r="G15" i="7"/>
  <c r="F19" i="11"/>
  <c r="G26" i="11"/>
  <c r="G17" i="11"/>
  <c r="K17" i="11" s="1"/>
  <c r="L17" i="11" s="1"/>
  <c r="E13" i="11"/>
  <c r="F24" i="7"/>
  <c r="L23" i="6"/>
  <c r="L24" i="6"/>
  <c r="L30" i="6"/>
  <c r="F35" i="7"/>
  <c r="F21" i="6"/>
  <c r="K21" i="6" s="1"/>
  <c r="L21" i="6" s="1"/>
  <c r="F32" i="6"/>
  <c r="F31" i="8"/>
  <c r="F20" i="8"/>
  <c r="F25" i="3"/>
  <c r="F36" i="3"/>
  <c r="K24" i="7"/>
  <c r="L24" i="7" s="1"/>
  <c r="H28" i="7"/>
  <c r="H25" i="6"/>
  <c r="H24" i="8"/>
  <c r="G31" i="7"/>
  <c r="E13" i="7"/>
  <c r="E31" i="6"/>
  <c r="E20" i="6"/>
  <c r="G29" i="6" l="1"/>
  <c r="K18" i="6"/>
  <c r="L18" i="6" s="1"/>
  <c r="G28" i="6" l="1"/>
  <c r="E13" i="6"/>
  <c r="E14" i="8"/>
  <c r="E13" i="8"/>
  <c r="K36" i="3"/>
  <c r="L36" i="3" s="1"/>
  <c r="H29" i="2"/>
  <c r="K18" i="8"/>
  <c r="L18" i="8" s="1"/>
  <c r="K16" i="8"/>
  <c r="L16" i="8" s="1"/>
  <c r="G32" i="2"/>
  <c r="G15" i="11"/>
  <c r="K15" i="11" s="1"/>
  <c r="L15" i="11" s="1"/>
  <c r="G22" i="7"/>
  <c r="K22" i="7" s="1"/>
  <c r="L22" i="7" s="1"/>
  <c r="K19" i="7"/>
  <c r="L19" i="7" s="1"/>
  <c r="G18" i="7"/>
  <c r="K18" i="7" s="1"/>
  <c r="L18" i="7" s="1"/>
  <c r="K16" i="6"/>
  <c r="L16" i="6" s="1"/>
  <c r="K15" i="6"/>
  <c r="L15" i="6" s="1"/>
  <c r="G20" i="2" l="1"/>
  <c r="K20" i="2" s="1"/>
  <c r="L20" i="2" s="1"/>
  <c r="G19" i="2"/>
  <c r="K19" i="2" s="1"/>
  <c r="L19" i="2" s="1"/>
  <c r="F15" i="3" l="1"/>
  <c r="F18" i="3" s="1"/>
  <c r="F14" i="3"/>
  <c r="F13" i="2"/>
  <c r="G16" i="11"/>
  <c r="G14" i="11"/>
  <c r="G14" i="7"/>
  <c r="K13" i="2" l="1"/>
  <c r="K14" i="3"/>
  <c r="L14" i="3" s="1"/>
  <c r="K15" i="3"/>
  <c r="L15" i="3" s="1"/>
  <c r="K16" i="3"/>
  <c r="L16" i="3" s="1"/>
  <c r="K17" i="3"/>
  <c r="L17" i="3" s="1"/>
  <c r="K18" i="3"/>
  <c r="L18" i="3" s="1"/>
  <c r="K19" i="3"/>
  <c r="L19" i="3" s="1"/>
  <c r="G32" i="3"/>
  <c r="G18" i="2" l="1"/>
  <c r="F35" i="2"/>
  <c r="F24" i="2"/>
  <c r="F25" i="2" l="1"/>
  <c r="F36" i="2"/>
  <c r="H32" i="11"/>
  <c r="K30" i="11"/>
  <c r="L30" i="11" s="1"/>
  <c r="K29" i="11"/>
  <c r="L29" i="11" s="1"/>
  <c r="L28" i="11"/>
  <c r="K27" i="11"/>
  <c r="L27" i="11" s="1"/>
  <c r="K26" i="11"/>
  <c r="L26" i="11" s="1"/>
  <c r="K25" i="11"/>
  <c r="L25" i="11" s="1"/>
  <c r="K24" i="11"/>
  <c r="L24" i="11" s="1"/>
  <c r="K23" i="11"/>
  <c r="L23" i="11" s="1"/>
  <c r="L22" i="11"/>
  <c r="L21" i="11"/>
  <c r="K19" i="11"/>
  <c r="L19" i="11" s="1"/>
  <c r="K18" i="11"/>
  <c r="L18" i="11" s="1"/>
  <c r="K16" i="11"/>
  <c r="L16" i="11" s="1"/>
  <c r="K13" i="11"/>
  <c r="H33" i="8"/>
  <c r="K31" i="8"/>
  <c r="L31" i="8" s="1"/>
  <c r="K30" i="8"/>
  <c r="L30" i="8" s="1"/>
  <c r="L29" i="8"/>
  <c r="K28" i="8"/>
  <c r="L28" i="8" s="1"/>
  <c r="K27" i="8"/>
  <c r="L27" i="8" s="1"/>
  <c r="K26" i="8"/>
  <c r="L26" i="8" s="1"/>
  <c r="K25" i="8"/>
  <c r="L25" i="8" s="1"/>
  <c r="K24" i="8"/>
  <c r="L24" i="8" s="1"/>
  <c r="L23" i="8"/>
  <c r="L22" i="8"/>
  <c r="K20" i="8"/>
  <c r="L20" i="8" s="1"/>
  <c r="K19" i="8"/>
  <c r="L19" i="8" s="1"/>
  <c r="K17" i="8"/>
  <c r="L17" i="8" s="1"/>
  <c r="K15" i="8"/>
  <c r="L15" i="8" s="1"/>
  <c r="K14" i="8"/>
  <c r="L14" i="8" s="1"/>
  <c r="K13" i="8"/>
  <c r="H37" i="7"/>
  <c r="K35" i="7"/>
  <c r="L35" i="7" s="1"/>
  <c r="K34" i="7"/>
  <c r="L34" i="7" s="1"/>
  <c r="L33" i="7"/>
  <c r="K31" i="7"/>
  <c r="L31" i="7" s="1"/>
  <c r="K30" i="7"/>
  <c r="L30" i="7" s="1"/>
  <c r="K29" i="7"/>
  <c r="L29" i="7" s="1"/>
  <c r="K28" i="7"/>
  <c r="L28" i="7" s="1"/>
  <c r="L27" i="7"/>
  <c r="L26" i="7"/>
  <c r="K23" i="7"/>
  <c r="L23" i="7" s="1"/>
  <c r="K15" i="7"/>
  <c r="L15" i="7" s="1"/>
  <c r="K14" i="7"/>
  <c r="L14" i="7" s="1"/>
  <c r="K13" i="7"/>
  <c r="H34" i="6"/>
  <c r="K32" i="6"/>
  <c r="L32" i="6" s="1"/>
  <c r="K31" i="6"/>
  <c r="L31" i="6" s="1"/>
  <c r="K29" i="6"/>
  <c r="L29" i="6" s="1"/>
  <c r="K28" i="6"/>
  <c r="L28" i="6" s="1"/>
  <c r="K27" i="6"/>
  <c r="L27" i="6" s="1"/>
  <c r="K26" i="6"/>
  <c r="L26" i="6" s="1"/>
  <c r="K25" i="6"/>
  <c r="L25" i="6" s="1"/>
  <c r="K20" i="6"/>
  <c r="L20" i="6" s="1"/>
  <c r="K17" i="6"/>
  <c r="L17" i="6" s="1"/>
  <c r="K14" i="6"/>
  <c r="L14" i="6" s="1"/>
  <c r="K13" i="6"/>
  <c r="H38" i="3"/>
  <c r="K35" i="3"/>
  <c r="L35" i="3" s="1"/>
  <c r="L34" i="3"/>
  <c r="K33" i="3"/>
  <c r="L33" i="3" s="1"/>
  <c r="K32" i="3"/>
  <c r="L32" i="3" s="1"/>
  <c r="K31" i="3"/>
  <c r="L31" i="3" s="1"/>
  <c r="K30" i="3"/>
  <c r="L30" i="3" s="1"/>
  <c r="K29" i="3"/>
  <c r="L29" i="3" s="1"/>
  <c r="L28" i="3"/>
  <c r="L27" i="3"/>
  <c r="K25" i="3"/>
  <c r="L25" i="3" s="1"/>
  <c r="K24" i="3"/>
  <c r="L24" i="3" s="1"/>
  <c r="K23" i="3"/>
  <c r="L23" i="3" s="1"/>
  <c r="K22" i="3"/>
  <c r="L22" i="3" s="1"/>
  <c r="K21" i="3"/>
  <c r="L21" i="3" s="1"/>
  <c r="G38" i="3"/>
  <c r="G33" i="8" l="1"/>
  <c r="G32" i="11"/>
  <c r="L13" i="11"/>
  <c r="L32" i="11" s="1"/>
  <c r="K14" i="11"/>
  <c r="L14" i="11" s="1"/>
  <c r="L13" i="8"/>
  <c r="L33" i="8" s="1"/>
  <c r="K33" i="8"/>
  <c r="K37" i="7"/>
  <c r="L13" i="7"/>
  <c r="G37" i="7"/>
  <c r="G34" i="6"/>
  <c r="L13" i="6"/>
  <c r="L34" i="6" s="1"/>
  <c r="K34" i="6"/>
  <c r="K20" i="3"/>
  <c r="L20" i="3" s="1"/>
  <c r="L37" i="7" l="1"/>
  <c r="C7" i="1" s="1"/>
  <c r="C6" i="1"/>
  <c r="L38" i="3"/>
  <c r="C4" i="1" s="1"/>
  <c r="C5" i="1"/>
  <c r="K32" i="11"/>
  <c r="C8" i="1"/>
  <c r="K38" i="3"/>
  <c r="K18" i="2"/>
  <c r="L18" i="2" s="1"/>
  <c r="H38" i="2"/>
  <c r="K36" i="2"/>
  <c r="L36" i="2" s="1"/>
  <c r="K35" i="2"/>
  <c r="L35" i="2" s="1"/>
  <c r="L34" i="2"/>
  <c r="K33" i="2"/>
  <c r="L33" i="2" s="1"/>
  <c r="K32" i="2"/>
  <c r="L32" i="2" s="1"/>
  <c r="K31" i="2"/>
  <c r="L31" i="2" s="1"/>
  <c r="K30" i="2"/>
  <c r="L30" i="2" s="1"/>
  <c r="K29" i="2"/>
  <c r="L29" i="2" s="1"/>
  <c r="L28" i="2"/>
  <c r="L27" i="2"/>
  <c r="K25" i="2"/>
  <c r="L25" i="2" s="1"/>
  <c r="K24" i="2"/>
  <c r="L24" i="2" s="1"/>
  <c r="L13" i="2" l="1"/>
  <c r="L38" i="2" s="1"/>
  <c r="G38" i="2" l="1"/>
  <c r="K38" i="2" l="1"/>
  <c r="C3" i="1" l="1"/>
  <c r="C9" i="1" s="1"/>
</calcChain>
</file>

<file path=xl/sharedStrings.xml><?xml version="1.0" encoding="utf-8"?>
<sst xmlns="http://schemas.openxmlformats.org/spreadsheetml/2006/main" count="401" uniqueCount="165">
  <si>
    <t>TT</t>
  </si>
  <si>
    <t>Tên TTHC</t>
  </si>
  <si>
    <t>TỔNG</t>
  </si>
  <si>
    <t>BIỂU MẪU TÍNH CHI PHÍ TUÂN THỦ THỦ TỤC HÀNH CHÍNH (BIỂU MẪU Số 04/ĐGTĐ-SCM)</t>
  </si>
  <si>
    <t xml:space="preserve">BỘ KHOA HỌC VÀ CÔNG NGHỆ
CỤC AN TOÀN BỨC XẠ VÀ HẠT NHÂN
</t>
  </si>
  <si>
    <t>Biểu mẫu 04/ĐGTG-SCM</t>
  </si>
  <si>
    <t xml:space="preserve">CHI PHÍ TUÂN THỦ THỦ TỤC HÀNH CHÍNH </t>
  </si>
  <si>
    <t>I.</t>
  </si>
  <si>
    <t>STT</t>
  </si>
  <si>
    <t>Các công việc 
khi thực hiện TTHC</t>
  </si>
  <si>
    <t>Các hoạt động/ cách thức thực hiện cụ thể</t>
  </si>
  <si>
    <r>
      <t xml:space="preserve">Thời gian thực hiện </t>
    </r>
    <r>
      <rPr>
        <sz val="12"/>
        <color indexed="8"/>
        <rFont val="Times New Roman"/>
        <family val="1"/>
      </rPr>
      <t>(giờ)</t>
    </r>
  </si>
  <si>
    <r>
      <rPr>
        <b/>
        <sz val="12"/>
        <color indexed="8"/>
        <rFont val="Times New Roman"/>
        <family val="1"/>
      </rPr>
      <t>Mức TNBQ/ 01 giờ làm việc</t>
    </r>
    <r>
      <rPr>
        <sz val="12"/>
        <color indexed="8"/>
        <rFont val="Times New Roman"/>
        <family val="1"/>
      </rPr>
      <t xml:space="preserve"> (đồng)</t>
    </r>
  </si>
  <si>
    <r>
      <t xml:space="preserve">Mức chi phí thuê tư vấn, dịch vụ </t>
    </r>
    <r>
      <rPr>
        <sz val="12"/>
        <color indexed="8"/>
        <rFont val="Times New Roman"/>
        <family val="1"/>
      </rPr>
      <t>(đồng)</t>
    </r>
  </si>
  <si>
    <r>
      <t xml:space="preserve">Mức phí, lệ phí, chi phí khác </t>
    </r>
    <r>
      <rPr>
        <sz val="12"/>
        <color indexed="8"/>
        <rFont val="Times New Roman"/>
        <family val="1"/>
      </rPr>
      <t>(đồng)</t>
    </r>
  </si>
  <si>
    <t>Số lần thực hiện/ 01 năm</t>
  </si>
  <si>
    <t>Số lượng đối tượng tuân thủ/01 năm</t>
  </si>
  <si>
    <r>
      <t xml:space="preserve">Chi phí thực hiện TTHC </t>
    </r>
    <r>
      <rPr>
        <sz val="12"/>
        <color indexed="8"/>
        <rFont val="Times New Roman"/>
        <family val="1"/>
      </rPr>
      <t>(đồng)</t>
    </r>
  </si>
  <si>
    <r>
      <t xml:space="preserve">Tổng chi phí thực hiện TTHC/
01 năm </t>
    </r>
    <r>
      <rPr>
        <sz val="12"/>
        <color indexed="8"/>
        <rFont val="Times New Roman"/>
        <family val="1"/>
      </rPr>
      <t>(đồng)</t>
    </r>
  </si>
  <si>
    <t>Ghi chú</t>
  </si>
  <si>
    <t>Chuẩn bị hồ sơ</t>
  </si>
  <si>
    <t>1.1</t>
  </si>
  <si>
    <t>1.2</t>
  </si>
  <si>
    <t>1.3</t>
  </si>
  <si>
    <t>1.4</t>
  </si>
  <si>
    <t>1.6</t>
  </si>
  <si>
    <t>Nộp hồ sơ</t>
  </si>
  <si>
    <t>Trực tiếp</t>
  </si>
  <si>
    <t>Bưu chính</t>
  </si>
  <si>
    <t>Điện tử</t>
  </si>
  <si>
    <t>Nộp phí, lệ phí, chi phí khác</t>
  </si>
  <si>
    <t>Lệ phí</t>
  </si>
  <si>
    <t>Phí</t>
  </si>
  <si>
    <t>Chi phí khác</t>
  </si>
  <si>
    <t>Chuẩn bị, phục vụ việc kiểm tra, đánh giá của cơ quan có thẩm quyền (nếu có)</t>
  </si>
  <si>
    <t>4.1</t>
  </si>
  <si>
    <t>Thẩm định tính hợp lệ của hồ sơ</t>
  </si>
  <si>
    <t>4.2</t>
  </si>
  <si>
    <t>Thẩm định an toàn</t>
  </si>
  <si>
    <t>Công việc khác (nếu có)</t>
  </si>
  <si>
    <t>Nhận kết quả</t>
  </si>
  <si>
    <t>(Ban hành kèm theo Thông tư số 26/2025/TT-BTP ngày 12 tháng 12 năm 2025 của Bộ Tư pháp)</t>
  </si>
  <si>
    <t xml:space="preserve">Thuyết minh bảo đảm việc thực hiện các chức năng an toàn cơ bản: kiểm soát phản ứng hạt nhân dây chuyền; tải nhiệt từ vùng hoạt lò phản ứng và nơi lưu giữ nhiên liệu hạt nhân đã qua sử dụng, ngăn ngừa phát tán phóng xạ môi trường; lượng chất thải phóng xạ phát sinh trực tiếp từ hoạt động của lò phản ứng hạt nhân nghiên cứu không vượt quá giới hạn quy định; bảo đảm khả năng thực hiện chức năng an toàn cơ bản với độ tin cậy cao, bảo đảm việc vận hành ổn định trong toàn bộ tuổi thọ theo thiết kế; </t>
  </si>
  <si>
    <t>Thuyết minh các điều kiện thuận lợi cho hoạt động thanh sát hạt nhân</t>
  </si>
  <si>
    <t>Các văn bản xác nhận thông tin sửa đổi cho các trường hợp thay đổi tên, địa chỉ, số điện thoại</t>
  </si>
  <si>
    <t>Hồ sơ về Tờ trình thẩm định, các văn bản pháp lý kèm theo, tài liệu khảo sát, thiết kế, dự toán xây dựng và thông tin năng lực của tổ chức, cá nhân tuân thủ quy định tại khoản 2 Điều 45 Nghị định số 175/2024/NĐ-CP</t>
  </si>
  <si>
    <t>Kết quả phân tích an toàn tất định và kết quả phân tích an toàn xác suất (nếu có) theo phương pháp tiếp cận theo cấp độ;</t>
  </si>
  <si>
    <t>Thuyết minh tính đến khả năng chấm dứt hoạt động, bao gồm: phương án tháo dỡ, xử lý chất thải phóng xạ và phục hồi môi trường; giảm thiểu lượng chất thải phát xạ phát sinh ra từ quá trình tháo dỡ;</t>
  </si>
  <si>
    <t>Tờ trình thẩm định</t>
  </si>
  <si>
    <t>Dự toán xây dựng; các thông tin, số liệu có liên quan về giá, định mức, báo giá, kết quả thẩm định giá (nếu có) để xác định dự toán xây dựng;</t>
  </si>
  <si>
    <t>Các văn bản pháp lý kèm theo, gồm: quyết định phê duyệt dự án đầu tư xây dựng kèm theo Báo cáo nghiên cứu khả thi đầu tư xây dựng được phê duyệt; văn bản thông báo kết quả thẩm định của cơ quan chuyên môn về xây dựng và hồ sơ bản vẽ thiết kế cơ sở được đóng dấu xác nhận kèm theo; Báo cáo kết quả thẩm tra thiết kế xây dựng của nhà thầu tư vấn thẩm tra được chủ đầu tư xác nhận (nếu có yêu cầu); văn bản thẩm duyệt thiết kế về phòng cháy và chữa cháy (nếu có yêu cầu theo quy định của pháp luật về phòng cháy và chữa cháy) và các văn bản khác có liên quan.</t>
  </si>
  <si>
    <t>Mã số chứng chỉ năng lực hoạt động xây dựng của nhà thầu khảo sát, nhà thầu lập thiết kế xây dựng, nhà thầu thẩm tra; mã số chứng chỉ hành nghề hoạt động xây dựng của các chức danh chủ nhiệm khảo sát xây dựng; chủ nhiệm, chủ trì các bộ môn thiết kế; chủ nhiệm, chủ trì thẩm tra; Giấy phép hoạt động xây dựng của nhà thầu nước ngoài (nếu có);</t>
  </si>
  <si>
    <t>1.1.1</t>
  </si>
  <si>
    <t>1.1.2</t>
  </si>
  <si>
    <t>1.1.3</t>
  </si>
  <si>
    <t>1.1.4</t>
  </si>
  <si>
    <t>1.1.5</t>
  </si>
  <si>
    <t>Hồ sơ khảo sát xây dựng được chủ đầu tư phê duyệt</t>
  </si>
  <si>
    <t>Hồ sơ thiết kế xây dựng của bước thiết kế xây dựng trình thẩm định;</t>
  </si>
  <si>
    <t>1.1.6</t>
  </si>
  <si>
    <t>Uớc tính 1 chuyên gia mức 1; 1 chuyên gia mức 2; 2 chuyên gia mức 3; 2 chuyên gia mức 4 làm việc trong 1 tháng</t>
  </si>
  <si>
    <t xml:space="preserve"> Uớc tính 2 chuyên gia mức 1; 5 chuyên gia mức 2; 4 chuyên gia mức 3; 1 chuyên gia mức 4 làm việc trong 7 tháng</t>
  </si>
  <si>
    <t>In tài liệu có sẵn</t>
  </si>
  <si>
    <t>Uớc tính 2 chuyên gia mức 1; 5 chuyên gia mức 2; 4 chuyên gia mức 3, 2 chuyên gia mức 4 làm việc trong 5 tháng</t>
  </si>
  <si>
    <t>Uớc tính 1 chuyên gia mức 1; 3 chuyên gia mức 2; 2 chuyên gia mức 3,1 chuyên gia mức 4 làm việc trong 3 tháng</t>
  </si>
  <si>
    <t>Uớc tính 5 chuyên gia mức 1; 11 chuyên gia mức 2; 7 chuyên gia mức 3,3 chuyên gia mức 4 làm việc trong 6 tháng</t>
  </si>
  <si>
    <t>Uớc tính 3 chuyên gia mức 1; 6 chuyên gia mức 2; 4 chuyên gia mức 3, 2 chuyên gia mức 4 làm việc trong 6 tháng</t>
  </si>
  <si>
    <t>Kế hoạch dừng lò dài hạn bao gồm: danh sách các hệ thống, thiết bị; các thay đổi trong giới hạn và điều kiện vận hành; nhu cầu về nhân sự cho thời gian dừng hoạt động kéo dài; các yêu cầu về thử nghiệm và bảo trì định kỳ; các quy trình điều chỉnh bản vẽ kỹ thuật, thủ tục và hướng dẫn</t>
  </si>
  <si>
    <t>Uớc tính 3 chuyên gia mức 1; 8 chuyên gia mức 2; 5 chuyên gia mức 3, 3 chuyên gia mức 4 làm việc trong 7 tháng</t>
  </si>
  <si>
    <t>Uớc tính 1 chuyên gia mức 1; 3 chuyên gia mức 2; 3 chuyên gia mức 3, 1 chuyên gia mức 4 làm việc trong 4 tháng</t>
  </si>
  <si>
    <t>Photo các tài liệu có sẵn</t>
  </si>
  <si>
    <t>Chi phí tuân thủ TTHC/năm (VNĐ)</t>
  </si>
  <si>
    <t>Kế hoạch chấm dứt hoạt động lò phản ứng hạt nhân nghiên cứu bao gồm: phương án tháo dỡ, xử lý chất thải phóng xạ và phục hồi môi trường; giảm thiểu lượng chất thải phóng xạ sinh ra từ quá trình tháo dỡ;</t>
  </si>
  <si>
    <t>Dữ liệu, tài liệu kỹ thuật, bản đồ và báo cáo hỗ trợ chứng minh điều chỉnh phù hợp với yêu cầu an toàn, an ninh của địa điểm xây dựng lò phản ứng hạt nhân trong trường hợp điều chỉnh quyết định phê duyệt địa điểm xây dựng lò phản ứng hạt nhân nghiên cứu</t>
  </si>
  <si>
    <t>Chương trình vận hành thử có điều chỉnh so với Chương trình vận hành thử đã được phê duyệt trong trường hợp điều chỉnh chương trình vận hành thử lò phản ứng hạt nhân nghiên cứu đã được phê duyệt (trong trường hợp thay đổi các điều kiện về vận hành thử ảnh hưởng đáng kể đến antoàn, môi trường hoặc các yếu tố quan trọng khác). 
Chương trình vận hành thử điều chỉnh bao gồm kiểm tra và thử nghiệm toàn bộ cấu trúc, hệ thống và bộ phận liên quan tới an toàn nhằm bảo đảm khả năng vận hành an toàn theo thiết kế</t>
  </si>
  <si>
    <t xml:space="preserve">    TÊN THỦ TỤC HÀNH CHÍNH:  Đề nghị thẩm định và phê duyệt thiết kế triển khai sau thiết kế cơ sở lò phản ứng hạt nhân nghiên cứu</t>
  </si>
  <si>
    <t>Đơn đề nghị sửa đổi giấy phép vận hành thử, giấy phép vận hành lò phản ứng hạt nhân nghiên cứu</t>
  </si>
  <si>
    <t xml:space="preserve">    TÊN THỦ TỤC HÀNH CHÍNH:  Đề nghị phê duyệt kế hoạch dừng lò dài hạn, kế hoạch chấm dứt hoạt động đối với lò phản ứng hạt nhân nghiên cứu</t>
  </si>
  <si>
    <t>Văn bản đề nghị điều chỉnh quyết định phê duyệt địa điểm xây dựng, chương trình vận hành thử, kế hoạch chấm dứt hoạt động đã được phê duyệt, chấp thuận việc nâng cấp, cải tạo quan trọng lò phản ứng hạt nhân nghiên cứu theo mẫu quy định</t>
  </si>
  <si>
    <t xml:space="preserve">    TÊN THỦ TỤC HÀNH CHÍNH:  Đề nghị điều chỉnh quyết định phê duyệt địa điểm xây dựng, chương trình vận hành thử, kế hoạch chấm dứt hoạt động đã được phê duyệt, chấp thuận việc nâng cấp, cải tạo quan trọng lò phản ứng hạt nhân nghiên cứu</t>
  </si>
  <si>
    <t>Đề nghị điều chỉnh quyết định phê duyệt địa điểm xây dựng, chương trình vận hành thử, kế hoạch chấm dứt hoạt động đã được phê duyệt, chấp thuận việc nâng cấp, cải tạo quan trọng lò phản ứng hạt nhân nghiên cứu</t>
  </si>
  <si>
    <t>Đề nghị thẩm định và phê duyệt thiết kế triển khai sau thiết kế cơ sở lò phản ứng hạt nhân nghiên cứu</t>
  </si>
  <si>
    <t xml:space="preserve">    TÊN THỦ TỤC HÀNH CHÍNH:  Đề nghị sửa đổi giấy phép vận hành thử, giấy phép vận hành lò phản ứng hạt nhân nghiên cứu</t>
  </si>
  <si>
    <t>Đề nghị sửa đổi giấy phép vận hành thử, giấy phép vận hành lò phản ứng hạt nhân nghiên cứu</t>
  </si>
  <si>
    <t xml:space="preserve">    TÊN THỦ TỤC HÀNH CHÍNH:  Đề nghị gia hạn giấy phép vận hành thử, giấy phép vận hành lò phản ứng hạt nhân nghiên cứu</t>
  </si>
  <si>
    <t>Đề nghị gia hạn giấy phép vận hành thử, giấy phép vận hành lò phản ứng hạt nhân nghiên cứu</t>
  </si>
  <si>
    <t>Đề nghị cho phép tiếp tục vận hành thử, tiếp tục tháo dỡ sau khi bị tạm đình chỉ và công nhận chấm dứt hoạt động lò phản ứng hạt nhân nghiên cứu</t>
  </si>
  <si>
    <t xml:space="preserve">    TÊN THỦ TỤC HÀNH CHÍNH:  Đề nghị cho phép tiếp tục vận hành thử, tiếp tục tháo dỡ sau khi bị tạm đình chỉ và công nhận chấm dứt hoạt động 
lò phản ứng hạt nhân nghiên cứu</t>
  </si>
  <si>
    <t>Đề nghị phê duyệt kế hoạch dừng lò dài hạn, kế hoạch chấm dứt hoạt động đối với lò phản ứng hạt nhân nghiên cứu</t>
  </si>
  <si>
    <t>TỔNG HỢP ĐÁNH GIÁ CHI PHÍ TUÂN THỦ THỦ TỤC HÀNH CHÍNH 
tại dự thảo Thông tư quy định về an toàn bức xạ, an toàn hạt nhân và an ninh hạt nhân 
đối với lò phản ứng hạt nhân nghiên cứu</t>
  </si>
  <si>
    <t>Kế hoạch chấm dứt hoạt động lò phản ứng hạt nhân nghiên cứu có điều chỉnh so với Bản kế hoạch đã được phê duyệt trong trường hợp điều chỉnh phê duyệt kế hoạch chấm dứt hoạt động lò phản ứng hạt nhân nghiên cứu. Kế hoạch chấm dứt hoạt động lò phản ứng hạt nhân nghiên cứu bao gồm: phương án tháo dỡ, xử lý chất thải phóng xạ và phục hồi môi trường; giảm thiểu lượng chất thải phát xạ sinh ra từ quá trình tháo dỡ</t>
  </si>
  <si>
    <t>Đơn đề nghị gia hạn giấy phép vận hành thử, vận hành lò phản ứng hạt nhân nghiên cứu theo mẫu quy định</t>
  </si>
  <si>
    <t>Văn bản đề nghị tiếp tục cho phép tiếp tục vận hành thử sau thời gian tạm đình chỉ, tiếp tục tháo dỡ sau khi bị tạm dừng, tạm đình chỉ, công nhận chấm dứt hoạt động lò phản ứng hạt nhân theo mẫu quy định</t>
  </si>
  <si>
    <t>Báo cáo giải trình, đề xuất các biện pháp bảo đảm tuân thủ đầy đủ quy định về an toàn bức xạ, an toàn hạt nhân và bảo vệ môi trường đối với trường hợp đề nghị cho phép tiếp tục tháo dỡ lò phản ứng hạt nhân nghiên cứu sau khi bị tạm dừng, tạm đình chỉ</t>
  </si>
  <si>
    <t>Báo cáo giải trình, đề xuất các biện pháp bảo đảm tuân thủ đầy đủ quy định về an toàn bức xạ, an toàn hạt nhân đối với trường hợp đề nghị cho phép tiếp tục vận hành thử sau khi bị tạm đình chỉ</t>
  </si>
  <si>
    <t>Báo cáo kết quả vận hành thử sau khi đã thực hiện các biện pháp khắc phục đối với trường hợp đề nghị cho phép tiếp tục vận hành thử sau khi bị tạm đình chỉ đối với trường hợp đề nghị cho phép tiếp tục vận hành thử sau khi bị tạm đình chỉ</t>
  </si>
  <si>
    <t xml:space="preserve">Báo cáo kèm tài liệu minh chứng hoàn tất cả các công việc nêu tại giấy phép chấm dứt hoạt động lò phản ứng hạt nhân nghiên cứu đối với trường hợp đề nghị công nhận lò phản ứng hạt nhân nghiên cứu chấm dứt hoạt động </t>
  </si>
  <si>
    <t>Văn bản đề nghị phê duyệt kế hoạch dừng lò dài hạn, kế hoạch chấm dứt hoạt động lò phản ứng hạt nhân nghiên cứu theo mẫu quy định</t>
  </si>
  <si>
    <t>1.5</t>
  </si>
  <si>
    <t>Mỗi trường hợp được uớc tính 1 chuyên gia mức 1; 1 chuyên gia mức 2; 1 chuyên gia mức 3; 1 chuyên gia mức 4 làm việc trong 1 tháng (04 trường hợp)</t>
  </si>
  <si>
    <t xml:space="preserve">Báo cáo phân tích an toàn giai đoạn vận hành được cập nhật (trong trường hợp thay đổi các điều kiện về vận hành có ảnh hưởng đáng kể đến an toàn, môi trường hoặc các yếu tố quan trọng liên quan đến rủi ro do con người, hoạt động công nghiệp gây ra, các yếu tố về quốc phòng, an ninh khác) </t>
  </si>
  <si>
    <t xml:space="preserve">Báo cáo phân tích an toàn giai đoạn vận hành thử được cập nhật (trong trường hợp thay đổi các điều kiện về vận hành thử có ảnh hưởng đáng kể đến an toàn, môi trường hoặc các yếu tố quan trọng liên quan đến rủi ro do con người, hoạt động công nghiệp gây ra, các yếu tố về quốc phòng, an ninh khác) </t>
  </si>
  <si>
    <t>Chương trình vận hành thử đã được cập nhật (trong trường hợp thay đổi các điều kiện về vận hành thử ảnh hưởng đáng kể đến an toàn, môi trường hoặc các yếu tố quan trọng liên quan đến rủi ro do con người, hoạt động công nghiệp gây ra, các yếu tố về quốc phòng, an ninh khác)</t>
  </si>
  <si>
    <t>Chương trình chương trình vận hành đã được cập nhật (trong trường hợp thay đổi các điều kiện về vận hành ảnh hưởng đáng kể đến an toàn, môi trường hoặc các yếu tố quan trọng liên quan đến rủi ro do con người, hoạt động công nghiệp gây ra, các yếu tố về quốc phòng, an ninh khác)</t>
  </si>
  <si>
    <t>04 trường hợp</t>
  </si>
  <si>
    <t>Mỗi trường hợp được ước tính 1 chuyên gia mức 1; 1 chuyên gia mức 2; 1 chuyên gia mức 3, 1 chuyên gia mức 4 làm việc trong 0.5 tháng (02 trường hợp)</t>
  </si>
  <si>
    <t>02 trường hợp</t>
  </si>
  <si>
    <t>Báo cáo kết quả vận hành thử trong thời hạn của giấy phép đề nghị gia hạn trường hợp đề nghị gia hạn giấy phép vận hành thử</t>
  </si>
  <si>
    <t>Chương trình vận hành thử đã được phê duyệt trường hợp đề nghị gia hạn giấy phép vận hành thử</t>
  </si>
  <si>
    <t>Báo cáo kết quả vận hành trong thời hạn của giấy phép đề nghị gia hạn trường hợp đề nghị gia hạn giấy phép vận hành</t>
  </si>
  <si>
    <t>Chương trình vận hành đã được phê duyệt trường hợp đề nghị gia hạn giấy phép vận hành</t>
  </si>
  <si>
    <t>Mỗi trường hợp ước tính 1 chuyên gia mức 2; 1 chuyên gia mức 3, 1 chuyên gia mức 4 làm việc trong 0.5 tháng (02 trường hợp)</t>
  </si>
  <si>
    <t>Mỗi trường hợp ước tính 1 chuyên gia mức 1; 1 chuyên gia mức 2; 1 chuyên gia mức 3,1 chuyên gia mức 4 làm việc trong 0.5 tháng (03 trường hợp)</t>
  </si>
  <si>
    <t>03 trường hợp</t>
  </si>
  <si>
    <t>Báo cáo phân tích an toàn đã cập nhật các thông tin trong trường hợp đề nghị phê duyệt kế hoạch dừng lò dài hạn</t>
  </si>
  <si>
    <t>Mỗi trường hợp ước tính 1 chuyên gia mức 1; 1 chuyên gia mức 2; 1 chuyên gia mức 3, 1 chuyên gia mức 4 làm việc trong 0.5 tháng (02 trường hợp)</t>
  </si>
  <si>
    <t>Uớc tính 3 chuyên gia mức 1; 7 chuyên gia mức 2; 6 chuyên gia mức 3; 2 chuyên gia mức 4 làm việc trong 6 tháng</t>
  </si>
  <si>
    <t>Uớc tính 6 chuyên gia mức 1; 14 chuyên gia mức 2; 8 chuyên gia mức 3; 6 chuyên gia mức 4 làm việc trong 9 tháng</t>
  </si>
  <si>
    <t>Uớc tính 2 chuyên gia mức 1; 5 chuyên gia mức 2; 4 chuyên gia mức 3; 2 chuyên gia mức 4 làm việc trong 5 tháng</t>
  </si>
  <si>
    <t>Mỗi trường hợp ước tính 3 chuyên gia mức 1; 3 chuyên gia mức 2; 4 chuyên gia mức 3, 3 chuyên gia mức 4 làm việc trong 3 tháng (02 trường hợp)</t>
  </si>
  <si>
    <t>Báo cáo tổng quan về lựa chọn địa điểm (trong đó nêu rõ phần điều chỉnh) trong trường hợp điều chỉnh quyết định phê duyệt địa điểm xây dựng lò phản ứng hạt nhân nghiên cứu</t>
  </si>
  <si>
    <t>Thiết kế sơ bộ (trong đó nêu rõ phần điều chỉnh) trong trường hợp điều chỉnh quyết định phê duyệt địa điểm xây dựng lò phản ứng hạt nhân nghiên cứu</t>
  </si>
  <si>
    <t>Báo cáo đánh giá sơ bộ tác động môi trường (cập nhật nội dung điều chỉnh) trong trường hợp điều chỉnh quyết định phê duyệt địa điểm xây dựng lò phản ứng hạt nhân nghiên cứu</t>
  </si>
  <si>
    <t>Báo cáo phân tích an toàn cho giai đoạn phê duyệt địa điểm (cập nhật nội dung điều chỉnh) trong trường hợp điều chỉnh quyết định phê duyệt địa điểm xây dựng lò phản ứng hạt nhân nghiên cứu</t>
  </si>
  <si>
    <t>1.7</t>
  </si>
  <si>
    <t>Uớc tính 1 chuyên gia mức 1; 4 chuyên gia mức 2; 3 chuyên gia mức 3, 2 chuyên gia mức 4 làm việc trong 4 tháng</t>
  </si>
  <si>
    <t>Giới hạn và điều kiện vận hành, quy trình và hướng dẫn vận hành cập nhật trong trường hợp đề nghị chấp thuận nâng cấp, cải tạo quan trọng về an toàn đối với lò phản ứng hạt nhân nghiên cứu</t>
  </si>
  <si>
    <t>1.8</t>
  </si>
  <si>
    <t>1.9</t>
  </si>
  <si>
    <t>1.10</t>
  </si>
  <si>
    <t>Kế hoạch nâng cấp, cải tạo quan trọng về an toàn đối với lò phản ứng hạt nhân nghiên cứu;</t>
  </si>
  <si>
    <t>Báo cáo phân tích an toàn, đã cập nhật kết quả vận hành thử đối với trường hợp gia hạn giấy phép vận hành thử</t>
  </si>
  <si>
    <t xml:space="preserve">Báo cáo phân tích an toàn, đã cập nhật kết quả vận hành đối với trường hợp gia hạn giấy phép vận hành </t>
  </si>
  <si>
    <t xml:space="preserve">Quy trình tháo dỡ lò phản ứng hạt nhân nghiên cứu đã cập nhật các biện pháp khắc phục đối với trường hợp đề nghị cho phép tiếp tục tháo dỡ lò phản ứng hạt nhân nghiên cứu sau khi bị tạm dừng, tạm đình chỉ </t>
  </si>
  <si>
    <t>Kế hoạch chấm dứt hoạt động lò phản ứng hạt nhân nghiên cứu đã được cập nhật trong trường hợp đề nghị cho phép tiếp tục tháo dỡ lò phản ứng hạt nhân nghiên cứu bị tạm dừng, tạm đình chỉ</t>
  </si>
  <si>
    <t>Uớc tính 6 chuyên gia mức 1; 14 chuyên gia mức 2; 9 chuyên gia mức 3, 5 chuyên gia mức 4 làm việc trong 8 tháng</t>
  </si>
  <si>
    <t>Báo cáo phân tích an toàn giai đoạn vận hành thử được cập nhật, điều chỉnh sau khi việc vận hành thử lò phản ứng hạt nhân nghiên cứu bị tạm đình chỉ</t>
  </si>
  <si>
    <t>Uớc tính 7 chuyên gia mức 1; 14 chuyên gia mức 2; 9 chuyên gia mức 3,4 chuyên gia mức 4 làm việc trong 8 tháng</t>
  </si>
  <si>
    <t>Chương trình vận hành thử đã điều chỉnh sau khi việc vận hành thử lò phản ứng hạt nhân nghiên cứu bị tạm đình chỉ</t>
  </si>
  <si>
    <t>Uớc tính 2 chuyên gia mức 1; 6 chuyên gia mức 2; 4 chuyên gia mức 3,1 chuyên gia mức 4 làm việc trong 6 tháng</t>
  </si>
  <si>
    <t>Mỗi trường hợp ước tính 4 chuyên gia mức 1; 12 chuyên gia mức 2; 6 chuyên gia mức 3, 4 chuyên gia mức 4 làm việc trong 4 tháng (03 trường hợp)</t>
  </si>
  <si>
    <t>Mỗi trường hợp ước tính 4 chuyên gia mức 1; 5 chuyên gia mức 2; 5 chuyên gia mức 3; 4 chuyên gia mức 4 làm việc trong 6 tháng (02 trường hợp)</t>
  </si>
  <si>
    <t xml:space="preserve">Báo cáo phân tích an toàn trong giai đoạn chấm dứt hoạt động lò phản ứng hạt nhân nghiên cứu đã được cập nhật sau khi việc tháo dỡ lò phản ứng hạt nhân nghiên cứu bị đình chỉ; </t>
  </si>
  <si>
    <t>Báo cáo phân tích an toàn giai đoạn vận hành với các thông số dự kiến nâng cấp, cải tạo quan trọng về an toàn trong trường hợp đề nghị chấp thuận nâng cấp, cải tạo quan trọng về an toàn đối với lò phản ứng hạt nhân nghiên cứu</t>
  </si>
  <si>
    <t>Ước tính 7 chuyên gia mức 1; 14 chuyên gia mức 2; 9 chuyên gia mức 3, 4 chuyên gia mức 4 làm việc trong 8 tháng</t>
  </si>
  <si>
    <t>Ước tính 5 chuyên gia mức 1; 10 chuyên gia mức 2; 7 chuyên gia mức 3, 8 chuyên gia mức 4 làm việc trong 6 tháng</t>
  </si>
  <si>
    <t>Ước tính 3 chuyên gia mức 1; 3 chuyên gia mức 2; 5 chuyên gia mức 3, 5 chuyên gia mức 4 làm việc trong 6 tháng</t>
  </si>
  <si>
    <t>Ước tính 1 chuyên gia mức 1; 2 chuyên gia mức 2; 1 chuyên gia mức 3; 1 chuyên gia mức 4 làm việc trong 2 tháng</t>
  </si>
  <si>
    <t>Ước tính 1 chuyên gia mức 1, 2 chuyên gia mức 2; 2 chuyên gia mức 3, 3 chuyên gia mức 4 làm việc trong 1 tháng</t>
  </si>
  <si>
    <t>Ước tính 3 chuyên gia mức 1; 3 chuyên gia mức 2; 5 chuyên gia mức 3; 5 chuyên gia mức 4 làm việc trong 4 tháng</t>
  </si>
  <si>
    <t>Mỗi trường hợp được ước tính 3 chuyên gia mức 1; 4 chuyên gia mức 2; 4 chuyên gia mức 3; 3 chuyên gia mức 4 làm việc trong 6 tháng (04 trường hợp)</t>
  </si>
  <si>
    <t>Báo cáo phân tích an toàn trong trường hợp đề nghị phê duyệt kế hoạch chấm dứt hoạt động</t>
  </si>
  <si>
    <t xml:space="preserve"> Uớc tính 3 chuyên gia mức 1; 4 chuyên gia mức 2; 4 chuyên gia mức 3; 5 chuyên gia mức 4 làm việc trong 5 tháng</t>
  </si>
  <si>
    <t xml:space="preserve"> Uớc tính 1 chuyên gia mức 1; 2 chuyên gia mức 2; 2 chuyên gia mức 3; 2 chuyên gia mức 4 làm việc trong 3 tháng</t>
  </si>
  <si>
    <t xml:space="preserve"> Uớc tính 2 chuyên gia mức 1; 4 chuyên gia mức 2; 4 chuyên gia mức 3; 6 chuyên gia mức 4 làm việc trong 4 tháng</t>
  </si>
  <si>
    <t xml:space="preserve"> Uớc tính 2 chuyên gia mức 1; 3 chuyên gia mức 2; 3 chuyên gia mức 3; 3 chuyên gia mức 4 làm việc trong 4 tháng</t>
  </si>
  <si>
    <t>Uớc tính 3 chuyên gia mức 1; 6 chuyên gia mức 2; 6 chuyên gia mức 3; 4 chuyên gia mức 4 làm việc trong 6 tháng</t>
  </si>
  <si>
    <t>Uớc tính 3 chuyên gia mức 1; 3 chuyên gia mức 2; 4 chuyên gia mức 3; 5 chuyên gia mức 4 làm việc trong 5 tháng</t>
  </si>
  <si>
    <t>Uớc tính 5 chuyên gia mức 1; 10 chuyên gia mức 2; 8 chuyên gia mức 3, 5 chuyên gia mức 4 làm việc trong 8 tháng</t>
  </si>
  <si>
    <t>Uớc tính 4chuyên gia mức 1; 10 chuyên gia mức 2; 6 chuyên gia mức 3; 3 chuyên gia mức 4 làm việc trong 6 tháng</t>
  </si>
  <si>
    <t>Mỗi trường hợp được ước tính 5 chuyên gia mức 1; 10 chuyên gia mức 2; 8 chuyên gia mức 3, 3 chuyên gia mức 4 làm việc trong 6 tháng (02 trường hợp)</t>
  </si>
  <si>
    <t>Uớc tính 2 chuyên gia mức 1; 5 chuyên gia mức 2; 4 chuyên gia mức 3, 2 chuyên gia mức 4 làm việc trong 4 tháng</t>
  </si>
  <si>
    <t>Uớc tính 1 chuyên gia mức 1; 1 chuyên gia mức 2; 1 chuyên gia mức 3; 1 chuyên gia mức 4 làm việc trong 3 tháng</t>
  </si>
  <si>
    <t>Ước tính 3 chuyên gia mức 1; 5 chuyên gia mức 2; 4 chuyên gia mức 3, 2 chuyên gia mức 4 làm việc trong 6 tháng</t>
  </si>
  <si>
    <t>Uớc tính 3 chuyên gia mức 1; 6 chuyên gia mức 2; 5 chuyên gia mức 3, 3 chuyên gia mức 4 làm việc trong 4 tháng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</si>
</sst>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0.0;[Red]0.0"/>
    <numFmt numFmtId="166" formatCode="_(* #,##0_);_(* \(#,##0\);_(* &quot;-&quot;??_);_(@_)"/>
    <numFmt numFmtId="167" formatCode="#,##0.0;[Red]#,##0.0"/>
  </numFmts>
  <fonts count="19" x14ac:knownFonts="1">
    <font>
      <sz val="11"/>
      <color theme="1"/>
      <name val="Calibri"/>
      <family val="2"/>
      <scheme val="minor"/>
    </font>
    <font>
      <sz val="11"/>
      <color theme="1"/>
      <name val="Calibri"/>
      <family val="2"/>
      <scheme val="minor"/>
    </font>
    <font>
      <sz val="12"/>
      <color indexed="8"/>
      <name val="Times New Roman"/>
      <family val="1"/>
    </font>
    <font>
      <sz val="12"/>
      <name val="Times New Roman"/>
      <family val="1"/>
    </font>
    <font>
      <sz val="10"/>
      <color indexed="8"/>
      <name val="Tahoma"/>
      <family val="2"/>
    </font>
    <font>
      <b/>
      <sz val="12"/>
      <color indexed="8"/>
      <name val="Times New Roman"/>
      <family val="1"/>
    </font>
    <font>
      <b/>
      <sz val="13"/>
      <color indexed="8"/>
      <name val="Times New Roman"/>
      <family val="1"/>
    </font>
    <font>
      <i/>
      <sz val="14"/>
      <color indexed="8"/>
      <name val="Times New Roman"/>
      <family val="1"/>
    </font>
    <font>
      <b/>
      <i/>
      <sz val="13"/>
      <color indexed="8"/>
      <name val="Times New Roman"/>
      <family val="1"/>
    </font>
    <font>
      <b/>
      <sz val="12"/>
      <name val="Times New Roman"/>
      <family val="1"/>
    </font>
    <font>
      <sz val="12"/>
      <color theme="1"/>
      <name val="Times New Roman"/>
      <family val="1"/>
    </font>
    <font>
      <sz val="13"/>
      <color indexed="8"/>
      <name val="Times New Roman"/>
      <family val="1"/>
    </font>
    <font>
      <sz val="13"/>
      <name val="Times New Roman"/>
      <family val="1"/>
    </font>
    <font>
      <sz val="13"/>
      <color indexed="8"/>
      <name val="Tahoma"/>
      <family val="2"/>
    </font>
    <font>
      <b/>
      <sz val="13"/>
      <color theme="1"/>
      <name val="Times New Roman"/>
      <family val="1"/>
    </font>
    <font>
      <sz val="13"/>
      <name val="Tahoma"/>
      <family val="2"/>
    </font>
    <font>
      <sz val="13"/>
      <color rgb="FF000000"/>
      <name val="Times New Roman"/>
      <family val="1"/>
    </font>
    <font>
      <sz val="10"/>
      <name val="Tahoma"/>
      <family val="2"/>
    </font>
    <font>
      <sz val="1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4" tint="0.399975585192419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167">
    <xf numFmtId="0" fontId="0" fillId="0" borderId="0" xfId="0"/>
    <xf numFmtId="0" fontId="4" fillId="0" borderId="0" xfId="0" applyFont="1" applyAlignment="1" applyProtection="1">
      <alignment vertical="center"/>
      <protection locked="0"/>
    </xf>
    <xf numFmtId="0" fontId="2" fillId="0" borderId="0" xfId="0" applyFont="1" applyAlignment="1" applyProtection="1">
      <alignment vertical="center"/>
      <protection locked="0"/>
    </xf>
    <xf numFmtId="0" fontId="2" fillId="0" borderId="0" xfId="0" applyFont="1" applyAlignment="1">
      <alignment vertical="center"/>
    </xf>
    <xf numFmtId="0" fontId="4" fillId="0" borderId="0" xfId="0" applyFont="1" applyAlignment="1" applyProtection="1">
      <alignment horizontal="center" vertical="center"/>
      <protection locked="0"/>
    </xf>
    <xf numFmtId="164" fontId="4" fillId="0" borderId="0" xfId="0" applyNumberFormat="1" applyFont="1" applyAlignment="1" applyProtection="1">
      <alignment vertical="center"/>
      <protection locked="0"/>
    </xf>
    <xf numFmtId="3" fontId="4" fillId="0" borderId="0" xfId="0" applyNumberFormat="1" applyFont="1" applyAlignment="1" applyProtection="1">
      <alignment vertical="center"/>
      <protection locked="0"/>
    </xf>
    <xf numFmtId="0" fontId="6" fillId="0" borderId="0" xfId="0" applyFont="1" applyAlignment="1" applyProtection="1">
      <alignment horizontal="center"/>
      <protection locked="0"/>
    </xf>
    <xf numFmtId="0" fontId="7" fillId="0" borderId="0" xfId="0" applyFont="1" applyAlignment="1" applyProtection="1">
      <alignment horizontal="center"/>
      <protection locked="0"/>
    </xf>
    <xf numFmtId="0" fontId="5" fillId="0" borderId="0" xfId="0" applyFont="1" applyAlignment="1" applyProtection="1">
      <alignment horizontal="center"/>
      <protection locked="0"/>
    </xf>
    <xf numFmtId="0" fontId="4" fillId="3" borderId="0" xfId="0" applyFont="1" applyFill="1" applyAlignment="1" applyProtection="1">
      <alignment vertical="center"/>
      <protection locked="0"/>
    </xf>
    <xf numFmtId="0" fontId="8" fillId="0" borderId="0" xfId="0" applyFont="1" applyAlignment="1" applyProtection="1">
      <alignment horizontal="center" vertical="top" wrapText="1"/>
      <protection locked="0"/>
    </xf>
    <xf numFmtId="0" fontId="8" fillId="0" borderId="0" xfId="0" applyFont="1" applyAlignment="1" applyProtection="1">
      <alignment vertical="top" wrapText="1"/>
      <protection locked="0"/>
    </xf>
    <xf numFmtId="0" fontId="6" fillId="0" borderId="0" xfId="0" applyFont="1" applyAlignment="1" applyProtection="1">
      <alignment horizontal="center" vertical="center"/>
      <protection locked="0"/>
    </xf>
    <xf numFmtId="0" fontId="5" fillId="0" borderId="0" xfId="0"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5" fillId="0" borderId="0" xfId="0" applyFont="1" applyAlignment="1" applyProtection="1">
      <alignment horizontal="left" vertical="center"/>
      <protection locked="0"/>
    </xf>
    <xf numFmtId="0" fontId="5" fillId="4" borderId="0" xfId="0" applyFont="1" applyFill="1" applyAlignment="1" applyProtection="1">
      <alignment horizontal="center" vertical="center"/>
      <protection locked="0"/>
    </xf>
    <xf numFmtId="0" fontId="5" fillId="4" borderId="0" xfId="0" applyFont="1" applyFill="1" applyAlignment="1" applyProtection="1">
      <alignment horizontal="left" vertical="center"/>
      <protection locked="0"/>
    </xf>
    <xf numFmtId="0" fontId="5" fillId="3" borderId="0" xfId="0" applyFont="1" applyFill="1" applyAlignment="1" applyProtection="1">
      <alignment horizontal="left" vertical="center"/>
      <protection locked="0"/>
    </xf>
    <xf numFmtId="0" fontId="9" fillId="5" borderId="3" xfId="0" applyFont="1" applyFill="1" applyBorder="1" applyAlignment="1" applyProtection="1">
      <alignment horizontal="center" vertical="center" wrapText="1"/>
      <protection locked="0"/>
    </xf>
    <xf numFmtId="0" fontId="9" fillId="5" borderId="4" xfId="0" applyFont="1" applyFill="1" applyBorder="1" applyAlignment="1" applyProtection="1">
      <alignment horizontal="center" vertical="center" wrapText="1"/>
      <protection locked="0"/>
    </xf>
    <xf numFmtId="0" fontId="9" fillId="5" borderId="5" xfId="0" applyFont="1" applyFill="1" applyBorder="1" applyAlignment="1" applyProtection="1">
      <alignment horizontal="center" vertical="center" wrapText="1"/>
      <protection locked="0"/>
    </xf>
    <xf numFmtId="164" fontId="5" fillId="5" borderId="5" xfId="0" applyNumberFormat="1" applyFont="1" applyFill="1" applyBorder="1" applyAlignment="1" applyProtection="1">
      <alignment horizontal="center" vertical="center" wrapText="1"/>
      <protection locked="0"/>
    </xf>
    <xf numFmtId="3" fontId="2" fillId="5" borderId="5" xfId="0" applyNumberFormat="1" applyFont="1" applyFill="1" applyBorder="1" applyAlignment="1" applyProtection="1">
      <alignment horizontal="center" vertical="center" wrapText="1"/>
      <protection locked="0"/>
    </xf>
    <xf numFmtId="4" fontId="5" fillId="5" borderId="5" xfId="0" applyNumberFormat="1" applyFont="1" applyFill="1" applyBorder="1" applyAlignment="1" applyProtection="1">
      <alignment horizontal="center" vertical="center" wrapText="1"/>
      <protection locked="0"/>
    </xf>
    <xf numFmtId="164" fontId="5" fillId="5" borderId="5" xfId="0" applyNumberFormat="1" applyFont="1" applyFill="1" applyBorder="1" applyAlignment="1">
      <alignment horizontal="center" vertical="center" wrapText="1"/>
    </xf>
    <xf numFmtId="164" fontId="5" fillId="5" borderId="6" xfId="0" applyNumberFormat="1" applyFont="1" applyFill="1" applyBorder="1" applyAlignment="1" applyProtection="1">
      <alignment horizontal="center" vertical="center" wrapText="1"/>
      <protection locked="0"/>
    </xf>
    <xf numFmtId="0" fontId="5" fillId="3" borderId="7" xfId="0" quotePrefix="1" applyFont="1" applyFill="1" applyBorder="1" applyAlignment="1" applyProtection="1">
      <alignment horizontal="center" vertical="center" wrapText="1"/>
      <protection locked="0"/>
    </xf>
    <xf numFmtId="0" fontId="5" fillId="3" borderId="8" xfId="0" quotePrefix="1" applyFont="1" applyFill="1" applyBorder="1" applyAlignment="1" applyProtection="1">
      <alignment horizontal="center" vertical="center" wrapText="1"/>
      <protection locked="0"/>
    </xf>
    <xf numFmtId="0" fontId="5" fillId="3" borderId="1" xfId="0" applyFont="1" applyFill="1" applyBorder="1" applyAlignment="1" applyProtection="1">
      <alignment vertical="center" wrapText="1"/>
      <protection locked="0"/>
    </xf>
    <xf numFmtId="0" fontId="2" fillId="3" borderId="1" xfId="0" applyFont="1" applyFill="1" applyBorder="1" applyAlignment="1" applyProtection="1">
      <alignment vertical="center" wrapText="1"/>
      <protection locked="0"/>
    </xf>
    <xf numFmtId="0" fontId="2" fillId="3" borderId="1" xfId="0" applyFont="1" applyFill="1" applyBorder="1" applyAlignment="1">
      <alignment vertical="center"/>
    </xf>
    <xf numFmtId="3" fontId="2" fillId="3" borderId="9" xfId="0" applyNumberFormat="1" applyFont="1" applyFill="1" applyBorder="1" applyAlignment="1" applyProtection="1">
      <alignment horizontal="left" vertical="center" wrapText="1"/>
      <protection locked="0"/>
    </xf>
    <xf numFmtId="0" fontId="5" fillId="0" borderId="7" xfId="0" quotePrefix="1" applyFont="1" applyBorder="1" applyAlignment="1" applyProtection="1">
      <alignment horizontal="center" vertical="center" wrapText="1"/>
      <protection locked="0"/>
    </xf>
    <xf numFmtId="0" fontId="2" fillId="0" borderId="8" xfId="0" quotePrefix="1" applyFont="1" applyBorder="1" applyAlignment="1" applyProtection="1">
      <alignment horizontal="center" vertical="center" wrapText="1"/>
      <protection locked="0"/>
    </xf>
    <xf numFmtId="0" fontId="2" fillId="0" borderId="10" xfId="0" applyFont="1" applyBorder="1" applyAlignment="1" applyProtection="1">
      <alignment horizontal="left" vertical="center" wrapText="1"/>
      <protection locked="0"/>
    </xf>
    <xf numFmtId="0" fontId="2" fillId="0" borderId="1" xfId="0" applyFont="1" applyBorder="1" applyAlignment="1" applyProtection="1">
      <alignment vertical="center" wrapText="1"/>
      <protection locked="0"/>
    </xf>
    <xf numFmtId="165" fontId="2" fillId="0" borderId="1" xfId="0" applyNumberFormat="1" applyFont="1" applyBorder="1" applyAlignment="1" applyProtection="1">
      <alignment horizontal="right" vertical="center" wrapText="1"/>
      <protection locked="0"/>
    </xf>
    <xf numFmtId="3" fontId="2" fillId="0" borderId="1" xfId="0" applyNumberFormat="1" applyFont="1" applyBorder="1" applyAlignment="1" applyProtection="1">
      <alignment vertical="center"/>
      <protection locked="0"/>
    </xf>
    <xf numFmtId="3" fontId="2" fillId="0" borderId="1" xfId="0" applyNumberFormat="1" applyFont="1" applyBorder="1" applyAlignment="1" applyProtection="1">
      <alignment horizontal="right" vertical="center" wrapText="1"/>
      <protection locked="0"/>
    </xf>
    <xf numFmtId="4" fontId="2" fillId="0" borderId="1" xfId="0" applyNumberFormat="1" applyFont="1" applyBorder="1" applyAlignment="1" applyProtection="1">
      <alignment horizontal="right" vertical="center" wrapText="1"/>
      <protection locked="0"/>
    </xf>
    <xf numFmtId="3" fontId="2" fillId="0" borderId="1" xfId="0" applyNumberFormat="1" applyFont="1" applyBorder="1" applyAlignment="1">
      <alignment horizontal="right" vertical="center" wrapText="1"/>
    </xf>
    <xf numFmtId="3" fontId="2" fillId="3" borderId="1" xfId="0" applyNumberFormat="1" applyFont="1" applyFill="1" applyBorder="1" applyAlignment="1">
      <alignment horizontal="right" vertical="center" wrapText="1"/>
    </xf>
    <xf numFmtId="3" fontId="2" fillId="0" borderId="9" xfId="0" applyNumberFormat="1" applyFont="1" applyBorder="1" applyAlignment="1" applyProtection="1">
      <alignment horizontal="left" vertical="center" wrapText="1"/>
      <protection locked="0"/>
    </xf>
    <xf numFmtId="0" fontId="2" fillId="0" borderId="11" xfId="0" quotePrefix="1" applyFont="1" applyBorder="1" applyAlignment="1" applyProtection="1">
      <alignment horizontal="center" vertical="center" wrapText="1"/>
      <protection locked="0"/>
    </xf>
    <xf numFmtId="0" fontId="10" fillId="0" borderId="1" xfId="0" applyFont="1" applyBorder="1" applyAlignment="1">
      <alignment horizontal="left" vertical="center" wrapText="1"/>
    </xf>
    <xf numFmtId="0" fontId="10" fillId="0" borderId="0" xfId="0" applyFont="1" applyAlignment="1">
      <alignment vertical="center"/>
    </xf>
    <xf numFmtId="3" fontId="2" fillId="0" borderId="9" xfId="0" quotePrefix="1" applyNumberFormat="1" applyFont="1" applyBorder="1" applyAlignment="1" applyProtection="1">
      <alignment horizontal="left" vertical="center" wrapText="1"/>
      <protection locked="0"/>
    </xf>
    <xf numFmtId="0" fontId="10" fillId="0" borderId="2" xfId="0" applyFont="1" applyBorder="1" applyAlignment="1">
      <alignment horizontal="left" vertical="center" wrapText="1"/>
    </xf>
    <xf numFmtId="0" fontId="10" fillId="0" borderId="1" xfId="0" applyFont="1" applyBorder="1" applyAlignment="1">
      <alignment vertical="center"/>
    </xf>
    <xf numFmtId="0" fontId="2" fillId="0" borderId="2"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5" fillId="0" borderId="8" xfId="0" quotePrefix="1" applyFont="1" applyBorder="1" applyAlignment="1" applyProtection="1">
      <alignment horizontal="center" vertical="center" wrapText="1"/>
      <protection locked="0"/>
    </xf>
    <xf numFmtId="0" fontId="5" fillId="0" borderId="1" xfId="0" applyFont="1" applyBorder="1" applyAlignment="1" applyProtection="1">
      <alignment vertical="center" wrapText="1"/>
      <protection locked="0"/>
    </xf>
    <xf numFmtId="165" fontId="3" fillId="0" borderId="1" xfId="0" applyNumberFormat="1" applyFont="1" applyBorder="1" applyAlignment="1" applyProtection="1">
      <alignment horizontal="right" vertical="center" wrapText="1"/>
      <protection locked="0" hidden="1"/>
    </xf>
    <xf numFmtId="4" fontId="2" fillId="0" borderId="2" xfId="0" applyNumberFormat="1" applyFont="1" applyBorder="1" applyAlignment="1" applyProtection="1">
      <alignment horizontal="right" vertical="center" wrapText="1"/>
      <protection locked="0"/>
    </xf>
    <xf numFmtId="3" fontId="2" fillId="0" borderId="1" xfId="0" applyNumberFormat="1" applyFont="1" applyBorder="1" applyAlignment="1">
      <alignment vertical="center"/>
    </xf>
    <xf numFmtId="0" fontId="2"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2" fillId="0" borderId="7" xfId="0" quotePrefix="1"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165" fontId="5" fillId="0" borderId="16" xfId="0" applyNumberFormat="1" applyFont="1" applyBorder="1" applyAlignment="1" applyProtection="1">
      <alignment horizontal="right" vertical="center" wrapText="1"/>
      <protection locked="0"/>
    </xf>
    <xf numFmtId="3" fontId="5" fillId="0" borderId="16" xfId="0" applyNumberFormat="1" applyFont="1" applyBorder="1" applyAlignment="1" applyProtection="1">
      <alignment horizontal="right" vertical="center" wrapText="1"/>
      <protection locked="0"/>
    </xf>
    <xf numFmtId="3" fontId="5" fillId="0" borderId="16" xfId="0" quotePrefix="1" applyNumberFormat="1" applyFont="1" applyBorder="1" applyAlignment="1" applyProtection="1">
      <alignment horizontal="right" vertical="center" wrapText="1"/>
      <protection locked="0"/>
    </xf>
    <xf numFmtId="3" fontId="5" fillId="0" borderId="16" xfId="0" applyNumberFormat="1" applyFont="1" applyBorder="1" applyAlignment="1">
      <alignment horizontal="right" vertical="center" wrapText="1"/>
    </xf>
    <xf numFmtId="3" fontId="5" fillId="3" borderId="16" xfId="0" applyNumberFormat="1" applyFont="1" applyFill="1" applyBorder="1" applyAlignment="1">
      <alignment horizontal="right" vertical="center" wrapText="1"/>
    </xf>
    <xf numFmtId="3" fontId="5" fillId="0" borderId="17" xfId="0" applyNumberFormat="1" applyFont="1" applyBorder="1" applyAlignment="1" applyProtection="1">
      <alignment horizontal="right" vertical="center" wrapText="1"/>
      <protection locked="0"/>
    </xf>
    <xf numFmtId="0" fontId="0" fillId="3" borderId="0" xfId="0" applyFill="1"/>
    <xf numFmtId="0" fontId="11" fillId="0" borderId="0" xfId="0" applyFont="1" applyAlignment="1" applyProtection="1">
      <alignment horizontal="center" vertical="center" wrapText="1"/>
      <protection locked="0"/>
    </xf>
    <xf numFmtId="0" fontId="11" fillId="0" borderId="0" xfId="0" applyFont="1" applyAlignment="1" applyProtection="1">
      <alignment wrapText="1"/>
      <protection locked="0"/>
    </xf>
    <xf numFmtId="0" fontId="12" fillId="0" borderId="0" xfId="0" applyFont="1" applyAlignment="1" applyProtection="1">
      <alignment wrapText="1"/>
      <protection locked="0"/>
    </xf>
    <xf numFmtId="0" fontId="11" fillId="0" borderId="0" xfId="0" applyFont="1" applyAlignment="1">
      <alignment wrapText="1"/>
    </xf>
    <xf numFmtId="0" fontId="13" fillId="0" borderId="0" xfId="0" applyFont="1" applyAlignment="1" applyProtection="1">
      <alignment vertical="center" wrapText="1"/>
      <protection locked="0"/>
    </xf>
    <xf numFmtId="0" fontId="15" fillId="0" borderId="0" xfId="0" applyFont="1" applyAlignment="1" applyProtection="1">
      <alignment vertical="center" wrapText="1"/>
      <protection locked="0"/>
    </xf>
    <xf numFmtId="0" fontId="13" fillId="0" borderId="0" xfId="0" applyFont="1" applyAlignment="1">
      <alignment vertical="center" wrapText="1"/>
    </xf>
    <xf numFmtId="0" fontId="6" fillId="0" borderId="0" xfId="0" applyFont="1" applyAlignment="1" applyProtection="1">
      <alignment wrapText="1"/>
      <protection locked="0"/>
    </xf>
    <xf numFmtId="0" fontId="6" fillId="0" borderId="0" xfId="0" applyFont="1" applyAlignment="1" applyProtection="1">
      <alignment vertical="center" wrapText="1"/>
      <protection locked="0"/>
    </xf>
    <xf numFmtId="3" fontId="6" fillId="0" borderId="0" xfId="0" applyNumberFormat="1" applyFont="1" applyAlignment="1" applyProtection="1">
      <alignment vertical="center" wrapText="1"/>
      <protection locked="0"/>
    </xf>
    <xf numFmtId="0" fontId="11" fillId="0" borderId="0" xfId="0" applyFont="1" applyAlignment="1" applyProtection="1">
      <alignment vertical="center" wrapText="1"/>
      <protection locked="0"/>
    </xf>
    <xf numFmtId="0" fontId="12" fillId="0" borderId="0" xfId="0" applyFont="1" applyAlignment="1" applyProtection="1">
      <alignment vertical="center" wrapText="1"/>
      <protection locked="0"/>
    </xf>
    <xf numFmtId="0" fontId="11" fillId="0" borderId="0" xfId="0" applyFont="1" applyAlignment="1">
      <alignment vertical="center" wrapText="1"/>
    </xf>
    <xf numFmtId="164" fontId="13" fillId="0" borderId="0" xfId="0" applyNumberFormat="1" applyFont="1" applyAlignment="1" applyProtection="1">
      <alignment vertical="center" wrapText="1"/>
      <protection locked="0"/>
    </xf>
    <xf numFmtId="0" fontId="6" fillId="2" borderId="1" xfId="0" applyFont="1" applyFill="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16" fillId="0" borderId="1" xfId="0" applyFont="1" applyBorder="1" applyAlignment="1">
      <alignment wrapText="1"/>
    </xf>
    <xf numFmtId="166" fontId="3" fillId="0" borderId="1" xfId="1" applyNumberFormat="1" applyFont="1" applyFill="1" applyBorder="1" applyAlignment="1">
      <alignment vertical="center"/>
    </xf>
    <xf numFmtId="0" fontId="17" fillId="0" borderId="0" xfId="0" applyFont="1" applyAlignment="1" applyProtection="1">
      <alignment vertical="center"/>
      <protection locked="0"/>
    </xf>
    <xf numFmtId="0" fontId="9" fillId="0" borderId="0" xfId="0" applyFont="1" applyAlignment="1" applyProtection="1">
      <alignment horizontal="left" vertical="center"/>
      <protection locked="0"/>
    </xf>
    <xf numFmtId="164" fontId="9" fillId="5" borderId="5" xfId="0" applyNumberFormat="1" applyFont="1" applyFill="1" applyBorder="1" applyAlignment="1" applyProtection="1">
      <alignment horizontal="center" vertical="center" wrapText="1"/>
      <protection locked="0"/>
    </xf>
    <xf numFmtId="0" fontId="3" fillId="3" borderId="1" xfId="0" applyFont="1" applyFill="1" applyBorder="1" applyAlignment="1">
      <alignment vertical="center"/>
    </xf>
    <xf numFmtId="3" fontId="9" fillId="0" borderId="16" xfId="0" applyNumberFormat="1" applyFont="1" applyBorder="1" applyAlignment="1" applyProtection="1">
      <alignment horizontal="right" vertical="center" wrapText="1"/>
      <protection locked="0"/>
    </xf>
    <xf numFmtId="0" fontId="18" fillId="0" borderId="0" xfId="0" applyFont="1"/>
    <xf numFmtId="0" fontId="6" fillId="0" borderId="0" xfId="0" applyFont="1" applyProtection="1">
      <protection locked="0"/>
    </xf>
    <xf numFmtId="0" fontId="7" fillId="0" borderId="0" xfId="0" applyFont="1" applyProtection="1">
      <protection locked="0"/>
    </xf>
    <xf numFmtId="0" fontId="6" fillId="0" borderId="0" xfId="0" applyFont="1" applyAlignment="1" applyProtection="1">
      <alignment vertical="center"/>
      <protection locked="0"/>
    </xf>
    <xf numFmtId="0" fontId="5" fillId="0" borderId="0" xfId="0" applyFont="1" applyAlignment="1" applyProtection="1">
      <alignment vertical="center"/>
      <protection locked="0"/>
    </xf>
    <xf numFmtId="0" fontId="5" fillId="4" borderId="0" xfId="0" applyFont="1" applyFill="1" applyAlignment="1" applyProtection="1">
      <alignment vertical="center"/>
      <protection locked="0"/>
    </xf>
    <xf numFmtId="3" fontId="2" fillId="3" borderId="9" xfId="0" applyNumberFormat="1" applyFont="1" applyFill="1" applyBorder="1" applyAlignment="1" applyProtection="1">
      <alignment vertical="center" wrapText="1"/>
      <protection locked="0"/>
    </xf>
    <xf numFmtId="3" fontId="2" fillId="0" borderId="9" xfId="0" applyNumberFormat="1" applyFont="1" applyBorder="1" applyAlignment="1" applyProtection="1">
      <alignment vertical="center" wrapText="1"/>
      <protection locked="0"/>
    </xf>
    <xf numFmtId="3" fontId="2" fillId="0" borderId="9" xfId="0" quotePrefix="1" applyNumberFormat="1" applyFont="1" applyBorder="1" applyAlignment="1" applyProtection="1">
      <alignment vertical="center" wrapText="1"/>
      <protection locked="0"/>
    </xf>
    <xf numFmtId="3" fontId="5" fillId="0" borderId="17" xfId="0" applyNumberFormat="1" applyFont="1" applyBorder="1" applyAlignment="1" applyProtection="1">
      <alignment vertical="center" wrapText="1"/>
      <protection locked="0"/>
    </xf>
    <xf numFmtId="0" fontId="11" fillId="6" borderId="1" xfId="0" applyFont="1" applyFill="1" applyBorder="1" applyAlignment="1" applyProtection="1">
      <alignment horizontal="center" vertical="center" wrapText="1"/>
      <protection locked="0"/>
    </xf>
    <xf numFmtId="0" fontId="14" fillId="0" borderId="1" xfId="0" applyFont="1" applyBorder="1" applyAlignment="1">
      <alignment horizontal="center" wrapText="1"/>
    </xf>
    <xf numFmtId="3" fontId="11" fillId="0" borderId="1" xfId="0" applyNumberFormat="1" applyFont="1" applyBorder="1" applyAlignment="1" applyProtection="1">
      <alignment wrapText="1"/>
      <protection locked="0"/>
    </xf>
    <xf numFmtId="3" fontId="6" fillId="0" borderId="1" xfId="0" applyNumberFormat="1" applyFont="1" applyBorder="1" applyAlignment="1" applyProtection="1">
      <alignment wrapText="1"/>
      <protection locked="0"/>
    </xf>
    <xf numFmtId="0" fontId="9" fillId="3" borderId="3" xfId="0" applyFont="1" applyFill="1" applyBorder="1" applyAlignment="1" applyProtection="1">
      <alignment horizontal="center" vertical="center" wrapText="1"/>
      <protection locked="0"/>
    </xf>
    <xf numFmtId="0" fontId="9" fillId="3" borderId="4"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4" fontId="5" fillId="3" borderId="5" xfId="0" applyNumberFormat="1" applyFont="1" applyFill="1" applyBorder="1" applyAlignment="1" applyProtection="1">
      <alignment horizontal="center" vertical="center" wrapText="1"/>
      <protection locked="0"/>
    </xf>
    <xf numFmtId="3" fontId="2" fillId="3" borderId="5" xfId="0" applyNumberFormat="1" applyFont="1" applyFill="1" applyBorder="1" applyAlignment="1" applyProtection="1">
      <alignment horizontal="center" vertical="center" wrapText="1"/>
      <protection locked="0"/>
    </xf>
    <xf numFmtId="4" fontId="5" fillId="3" borderId="5" xfId="0" applyNumberFormat="1" applyFont="1" applyFill="1" applyBorder="1" applyAlignment="1" applyProtection="1">
      <alignment horizontal="center" vertical="center" wrapText="1"/>
      <protection locked="0"/>
    </xf>
    <xf numFmtId="164" fontId="9" fillId="3" borderId="5" xfId="0" applyNumberFormat="1" applyFont="1" applyFill="1" applyBorder="1" applyAlignment="1" applyProtection="1">
      <alignment horizontal="center" vertical="center" wrapText="1"/>
      <protection locked="0"/>
    </xf>
    <xf numFmtId="164" fontId="5" fillId="3" borderId="5" xfId="0" applyNumberFormat="1" applyFont="1" applyFill="1" applyBorder="1" applyAlignment="1">
      <alignment horizontal="center" vertical="center" wrapText="1"/>
    </xf>
    <xf numFmtId="164" fontId="5" fillId="3" borderId="6" xfId="0" applyNumberFormat="1" applyFont="1" applyFill="1" applyBorder="1" applyAlignment="1" applyProtection="1">
      <alignment horizontal="center" vertical="center" wrapText="1"/>
      <protection locked="0"/>
    </xf>
    <xf numFmtId="0" fontId="2" fillId="3" borderId="8" xfId="0" quotePrefix="1" applyFont="1" applyFill="1" applyBorder="1" applyAlignment="1" applyProtection="1">
      <alignment horizontal="center" vertical="center" wrapText="1"/>
      <protection locked="0"/>
    </xf>
    <xf numFmtId="0" fontId="2" fillId="3" borderId="10" xfId="0" applyFont="1" applyFill="1" applyBorder="1" applyAlignment="1" applyProtection="1">
      <alignment horizontal="left" vertical="center" wrapText="1"/>
      <protection locked="0"/>
    </xf>
    <xf numFmtId="167" fontId="2" fillId="3" borderId="1" xfId="0" applyNumberFormat="1" applyFont="1" applyFill="1" applyBorder="1" applyAlignment="1" applyProtection="1">
      <alignment horizontal="right" vertical="center" wrapText="1"/>
      <protection locked="0"/>
    </xf>
    <xf numFmtId="3" fontId="2" fillId="3" borderId="1" xfId="0" applyNumberFormat="1" applyFont="1" applyFill="1" applyBorder="1" applyAlignment="1" applyProtection="1">
      <alignment vertical="center"/>
      <protection locked="0"/>
    </xf>
    <xf numFmtId="3" fontId="2" fillId="3" borderId="1" xfId="0" applyNumberFormat="1" applyFont="1" applyFill="1" applyBorder="1" applyAlignment="1" applyProtection="1">
      <alignment horizontal="right" vertical="center" wrapText="1"/>
      <protection locked="0"/>
    </xf>
    <xf numFmtId="4" fontId="2" fillId="3" borderId="1" xfId="0" applyNumberFormat="1" applyFont="1" applyFill="1" applyBorder="1" applyAlignment="1" applyProtection="1">
      <alignment horizontal="right" vertical="center" wrapText="1"/>
      <protection locked="0"/>
    </xf>
    <xf numFmtId="166" fontId="3" fillId="3" borderId="1" xfId="1" applyNumberFormat="1" applyFont="1" applyFill="1" applyBorder="1" applyAlignment="1">
      <alignment vertical="center"/>
    </xf>
    <xf numFmtId="0" fontId="2" fillId="3" borderId="1" xfId="0" applyFont="1" applyFill="1" applyBorder="1" applyAlignment="1" applyProtection="1">
      <alignment horizontal="left" vertical="center" wrapText="1"/>
      <protection locked="0"/>
    </xf>
    <xf numFmtId="0" fontId="10" fillId="3" borderId="1" xfId="0" applyFont="1" applyFill="1" applyBorder="1" applyAlignment="1">
      <alignment vertical="center" wrapText="1"/>
    </xf>
    <xf numFmtId="0" fontId="2" fillId="3" borderId="2" xfId="0" applyFont="1" applyFill="1" applyBorder="1" applyAlignment="1" applyProtection="1">
      <alignment horizontal="left" vertical="center" wrapText="1"/>
      <protection locked="0"/>
    </xf>
    <xf numFmtId="165" fontId="2" fillId="3" borderId="1" xfId="0" applyNumberFormat="1" applyFont="1" applyFill="1" applyBorder="1" applyAlignment="1" applyProtection="1">
      <alignment horizontal="right" vertical="center" wrapText="1"/>
      <protection locked="0"/>
    </xf>
    <xf numFmtId="3" fontId="2" fillId="3" borderId="9" xfId="0" quotePrefix="1" applyNumberFormat="1" applyFont="1" applyFill="1" applyBorder="1" applyAlignment="1" applyProtection="1">
      <alignment horizontal="left" vertical="center" wrapText="1"/>
      <protection locked="0"/>
    </xf>
    <xf numFmtId="0" fontId="2" fillId="3" borderId="1" xfId="0" quotePrefix="1" applyFont="1" applyFill="1" applyBorder="1" applyAlignment="1" applyProtection="1">
      <alignment horizontal="center" vertical="center" wrapText="1"/>
      <protection locked="0"/>
    </xf>
    <xf numFmtId="0" fontId="10" fillId="3" borderId="1" xfId="0" applyFont="1" applyFill="1" applyBorder="1" applyAlignment="1">
      <alignment horizontal="left" vertical="center" wrapText="1"/>
    </xf>
    <xf numFmtId="0" fontId="10" fillId="3" borderId="1" xfId="0" applyFont="1" applyFill="1" applyBorder="1" applyAlignment="1">
      <alignment vertical="center"/>
    </xf>
    <xf numFmtId="167" fontId="3" fillId="3" borderId="1" xfId="0" applyNumberFormat="1" applyFont="1" applyFill="1" applyBorder="1" applyAlignment="1" applyProtection="1">
      <alignment horizontal="right" vertical="center" wrapText="1"/>
      <protection locked="0" hidden="1"/>
    </xf>
    <xf numFmtId="4" fontId="2" fillId="3" borderId="2" xfId="0" applyNumberFormat="1" applyFont="1" applyFill="1" applyBorder="1" applyAlignment="1" applyProtection="1">
      <alignment horizontal="right" vertical="center" wrapText="1"/>
      <protection locked="0"/>
    </xf>
    <xf numFmtId="0" fontId="2" fillId="3" borderId="0" xfId="0" applyFont="1" applyFill="1" applyAlignment="1">
      <alignment vertical="center"/>
    </xf>
    <xf numFmtId="3" fontId="2" fillId="3" borderId="1" xfId="0" applyNumberFormat="1" applyFont="1" applyFill="1" applyBorder="1" applyAlignment="1">
      <alignment vertical="center"/>
    </xf>
    <xf numFmtId="0" fontId="2" fillId="3" borderId="7" xfId="0" applyFont="1" applyFill="1" applyBorder="1" applyAlignment="1" applyProtection="1">
      <alignment horizontal="center" vertical="center" wrapText="1"/>
      <protection locked="0"/>
    </xf>
    <xf numFmtId="0" fontId="2" fillId="3" borderId="8" xfId="0" applyFont="1" applyFill="1" applyBorder="1" applyAlignment="1" applyProtection="1">
      <alignment horizontal="center" vertical="center" wrapText="1"/>
      <protection locked="0"/>
    </xf>
    <xf numFmtId="0" fontId="5" fillId="3" borderId="8" xfId="0" applyFont="1" applyFill="1" applyBorder="1" applyAlignment="1" applyProtection="1">
      <alignment horizontal="center" vertical="center" wrapText="1"/>
      <protection locked="0"/>
    </xf>
    <xf numFmtId="0" fontId="2" fillId="3" borderId="7" xfId="0" quotePrefix="1"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protection locked="0"/>
    </xf>
    <xf numFmtId="0" fontId="2" fillId="3" borderId="13" xfId="0" applyFont="1" applyFill="1" applyBorder="1" applyAlignment="1" applyProtection="1">
      <alignment horizontal="center" vertical="center" wrapText="1"/>
      <protection locked="0"/>
    </xf>
    <xf numFmtId="167" fontId="5" fillId="3" borderId="16" xfId="0" applyNumberFormat="1" applyFont="1" applyFill="1" applyBorder="1" applyAlignment="1" applyProtection="1">
      <alignment horizontal="right" vertical="center" wrapText="1"/>
      <protection locked="0"/>
    </xf>
    <xf numFmtId="3" fontId="5" fillId="3" borderId="16" xfId="0" applyNumberFormat="1" applyFont="1" applyFill="1" applyBorder="1" applyAlignment="1" applyProtection="1">
      <alignment horizontal="right" vertical="center" wrapText="1"/>
      <protection locked="0"/>
    </xf>
    <xf numFmtId="3" fontId="5" fillId="3" borderId="16" xfId="0" quotePrefix="1" applyNumberFormat="1" applyFont="1" applyFill="1" applyBorder="1" applyAlignment="1" applyProtection="1">
      <alignment horizontal="right" vertical="center" wrapText="1"/>
      <protection locked="0"/>
    </xf>
    <xf numFmtId="3" fontId="9" fillId="3" borderId="16" xfId="0" applyNumberFormat="1" applyFont="1" applyFill="1" applyBorder="1" applyAlignment="1" applyProtection="1">
      <alignment horizontal="right" vertical="center" wrapText="1"/>
      <protection locked="0"/>
    </xf>
    <xf numFmtId="3" fontId="5" fillId="3" borderId="17" xfId="0" applyNumberFormat="1" applyFont="1" applyFill="1" applyBorder="1" applyAlignment="1" applyProtection="1">
      <alignment horizontal="right" vertical="center" wrapText="1"/>
      <protection locked="0"/>
    </xf>
    <xf numFmtId="3" fontId="0" fillId="0" borderId="0" xfId="0" applyNumberFormat="1"/>
    <xf numFmtId="0" fontId="3" fillId="3" borderId="1" xfId="0" applyFont="1" applyFill="1" applyBorder="1" applyAlignment="1">
      <alignment horizontal="left" vertical="center" wrapText="1"/>
    </xf>
    <xf numFmtId="167" fontId="2" fillId="0" borderId="1" xfId="0" applyNumberFormat="1" applyFont="1" applyBorder="1" applyAlignment="1" applyProtection="1">
      <alignment horizontal="right" vertical="center" wrapText="1"/>
      <protection locked="0"/>
    </xf>
    <xf numFmtId="0" fontId="3" fillId="0" borderId="2" xfId="0" applyFont="1" applyBorder="1" applyAlignment="1" applyProtection="1">
      <alignment horizontal="left" vertical="center" wrapText="1"/>
      <protection locked="0"/>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6" fillId="6" borderId="18" xfId="0" applyFont="1" applyFill="1" applyBorder="1" applyAlignment="1" applyProtection="1">
      <alignment horizontal="center" vertical="center" wrapText="1"/>
      <protection locked="0"/>
    </xf>
    <xf numFmtId="0" fontId="6" fillId="6" borderId="8" xfId="0" applyFont="1" applyFill="1" applyBorder="1" applyAlignment="1" applyProtection="1">
      <alignment horizontal="center" vertical="center" wrapText="1"/>
      <protection locked="0"/>
    </xf>
    <xf numFmtId="0" fontId="5" fillId="0" borderId="0" xfId="0" applyFont="1" applyAlignment="1" applyProtection="1">
      <alignment horizontal="left" vertical="center"/>
      <protection locked="0"/>
    </xf>
    <xf numFmtId="0" fontId="5" fillId="4" borderId="0" xfId="0" applyFont="1" applyFill="1" applyAlignment="1" applyProtection="1">
      <alignment horizontal="left" vertical="center"/>
      <protection locked="0"/>
    </xf>
    <xf numFmtId="0" fontId="5" fillId="3" borderId="14" xfId="0" applyFont="1" applyFill="1" applyBorder="1" applyAlignment="1" applyProtection="1">
      <alignment horizontal="center" vertical="center" wrapText="1"/>
      <protection locked="0"/>
    </xf>
    <xf numFmtId="0" fontId="5" fillId="3" borderId="15" xfId="0" applyFont="1" applyFill="1" applyBorder="1" applyAlignment="1" applyProtection="1">
      <alignment horizontal="center" vertical="center" wrapText="1"/>
      <protection locked="0"/>
    </xf>
    <xf numFmtId="0" fontId="6" fillId="0" borderId="0" xfId="0" applyFont="1" applyAlignment="1" applyProtection="1">
      <alignment horizontal="center"/>
      <protection locked="0"/>
    </xf>
    <xf numFmtId="0" fontId="7" fillId="0" borderId="0" xfId="0" applyFont="1" applyAlignment="1" applyProtection="1">
      <alignment horizontal="center"/>
      <protection locked="0"/>
    </xf>
    <xf numFmtId="0" fontId="6" fillId="0" borderId="0" xfId="0" applyFont="1" applyAlignment="1" applyProtection="1">
      <alignment horizontal="center" vertical="top" wrapText="1"/>
      <protection locked="0"/>
    </xf>
    <xf numFmtId="0" fontId="8" fillId="0" borderId="0" xfId="0" applyFont="1" applyAlignment="1" applyProtection="1">
      <alignment horizontal="center" vertical="top" wrapText="1"/>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5" fillId="0" borderId="15" xfId="0" applyFont="1" applyBorder="1" applyAlignment="1" applyProtection="1">
      <alignment horizontal="center" vertical="center" wrapText="1"/>
      <protection locked="0"/>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1"/>
  <sheetViews>
    <sheetView zoomScale="70" zoomScaleNormal="70" workbookViewId="0">
      <selection activeCell="H5" sqref="H5"/>
    </sheetView>
  </sheetViews>
  <sheetFormatPr defaultColWidth="9.140625" defaultRowHeight="16.5" x14ac:dyDescent="0.25"/>
  <cols>
    <col min="1" max="1" width="8.42578125" style="71" customWidth="1"/>
    <col min="2" max="2" width="71.42578125" style="81" customWidth="1"/>
    <col min="3" max="3" width="25.5703125" style="84" customWidth="1"/>
    <col min="4" max="4" width="12" style="75" customWidth="1"/>
    <col min="5" max="5" width="8.85546875" style="75" customWidth="1"/>
    <col min="6" max="6" width="12.140625" style="76" customWidth="1"/>
    <col min="7" max="7" width="16.42578125" style="75" customWidth="1"/>
    <col min="8" max="8" width="16.140625" style="75" customWidth="1"/>
    <col min="9" max="9" width="38.7109375" style="75" customWidth="1"/>
    <col min="10" max="16384" width="9.140625" style="77"/>
  </cols>
  <sheetData>
    <row r="1" spans="1:9" s="74" customFormat="1" ht="65.099999999999994" customHeight="1" x14ac:dyDescent="0.25">
      <c r="A1" s="104"/>
      <c r="B1" s="153" t="s">
        <v>89</v>
      </c>
      <c r="C1" s="154"/>
      <c r="D1" s="72"/>
      <c r="E1" s="72"/>
      <c r="F1" s="73"/>
      <c r="G1" s="72"/>
      <c r="H1" s="72"/>
      <c r="I1" s="72"/>
    </row>
    <row r="2" spans="1:9" s="74" customFormat="1" ht="33" x14ac:dyDescent="0.25">
      <c r="A2" s="85" t="s">
        <v>0</v>
      </c>
      <c r="B2" s="85" t="s">
        <v>1</v>
      </c>
      <c r="C2" s="85" t="s">
        <v>71</v>
      </c>
      <c r="D2" s="72"/>
      <c r="E2" s="72"/>
      <c r="F2" s="73"/>
      <c r="G2" s="72"/>
      <c r="H2" s="72"/>
      <c r="I2" s="72"/>
    </row>
    <row r="3" spans="1:9" s="74" customFormat="1" ht="59.45" customHeight="1" x14ac:dyDescent="0.25">
      <c r="A3" s="86">
        <v>1</v>
      </c>
      <c r="B3" s="87" t="s">
        <v>80</v>
      </c>
      <c r="C3" s="106">
        <f>'1. SĐ ĐĐ, CTVHT, CDHĐ, NCCT'!L38</f>
        <v>66534329971.266922</v>
      </c>
      <c r="D3" s="72"/>
      <c r="E3" s="72"/>
      <c r="F3" s="73"/>
      <c r="G3" s="72"/>
      <c r="H3" s="72"/>
      <c r="I3" s="72"/>
    </row>
    <row r="4" spans="1:9" s="74" customFormat="1" ht="45.95" customHeight="1" x14ac:dyDescent="0.25">
      <c r="A4" s="86">
        <v>2</v>
      </c>
      <c r="B4" s="87" t="s">
        <v>81</v>
      </c>
      <c r="C4" s="106">
        <f>'2. Phê duyệt Tke'!L38</f>
        <v>22147717974.990875</v>
      </c>
      <c r="D4" s="72"/>
      <c r="E4" s="72"/>
      <c r="F4" s="73"/>
      <c r="G4" s="72"/>
      <c r="H4" s="72"/>
      <c r="I4" s="72"/>
    </row>
    <row r="5" spans="1:9" s="74" customFormat="1" ht="48" customHeight="1" x14ac:dyDescent="0.25">
      <c r="A5" s="86">
        <v>3</v>
      </c>
      <c r="B5" s="87" t="s">
        <v>83</v>
      </c>
      <c r="C5" s="106">
        <f>'3. SĐ GPVHT,VH'!L33</f>
        <v>51766234420</v>
      </c>
      <c r="D5" s="72"/>
      <c r="E5" s="72"/>
      <c r="F5" s="73"/>
      <c r="G5" s="72"/>
      <c r="H5" s="72"/>
      <c r="I5" s="72"/>
    </row>
    <row r="6" spans="1:9" s="74" customFormat="1" ht="46.5" customHeight="1" x14ac:dyDescent="0.25">
      <c r="A6" s="86">
        <v>4</v>
      </c>
      <c r="B6" s="87" t="s">
        <v>85</v>
      </c>
      <c r="C6" s="106">
        <f>'4. GH GPVHT, VH'!L34</f>
        <v>17428821956</v>
      </c>
      <c r="D6" s="72"/>
      <c r="E6" s="72"/>
      <c r="F6" s="73"/>
      <c r="G6" s="72"/>
      <c r="H6" s="72"/>
      <c r="I6" s="72"/>
    </row>
    <row r="7" spans="1:9" s="74" customFormat="1" ht="48.95" customHeight="1" x14ac:dyDescent="0.25">
      <c r="A7" s="86">
        <v>5</v>
      </c>
      <c r="B7" s="87" t="s">
        <v>86</v>
      </c>
      <c r="C7" s="106">
        <f>'5. TT VHT-Thaodo-Congnhan'!L37</f>
        <v>65940764094</v>
      </c>
      <c r="D7" s="72"/>
      <c r="E7" s="72"/>
      <c r="F7" s="73"/>
      <c r="G7" s="72"/>
      <c r="H7" s="72"/>
      <c r="I7" s="72"/>
    </row>
    <row r="8" spans="1:9" s="74" customFormat="1" ht="48.6" customHeight="1" x14ac:dyDescent="0.25">
      <c r="A8" s="86">
        <v>6</v>
      </c>
      <c r="B8" s="87" t="s">
        <v>88</v>
      </c>
      <c r="C8" s="106">
        <f>'6. KH dung lo-Chamdut'!L32</f>
        <v>39828509396</v>
      </c>
      <c r="D8" s="72"/>
      <c r="E8" s="72"/>
      <c r="F8" s="73"/>
      <c r="G8" s="72"/>
      <c r="H8" s="72"/>
      <c r="I8" s="72"/>
    </row>
    <row r="9" spans="1:9" ht="26.1" customHeight="1" x14ac:dyDescent="0.25">
      <c r="A9" s="86"/>
      <c r="B9" s="105" t="s">
        <v>2</v>
      </c>
      <c r="C9" s="107">
        <f>SUM(C3:C8)</f>
        <v>263646377812.25781</v>
      </c>
    </row>
    <row r="10" spans="1:9" s="74" customFormat="1" x14ac:dyDescent="0.25">
      <c r="A10" s="71"/>
      <c r="B10" s="78"/>
      <c r="C10" s="72"/>
      <c r="D10" s="72"/>
      <c r="E10" s="72"/>
      <c r="F10" s="73"/>
      <c r="G10" s="72"/>
      <c r="H10" s="72"/>
      <c r="I10" s="72"/>
    </row>
    <row r="11" spans="1:9" s="83" customFormat="1" x14ac:dyDescent="0.25">
      <c r="A11" s="71"/>
      <c r="B11" s="79"/>
      <c r="C11" s="80"/>
      <c r="D11" s="81"/>
      <c r="E11" s="81"/>
      <c r="F11" s="82"/>
      <c r="G11" s="81"/>
      <c r="H11" s="81"/>
      <c r="I11" s="81"/>
    </row>
  </sheetData>
  <mergeCells count="1">
    <mergeCell ref="B1:C1"/>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43"/>
  <sheetViews>
    <sheetView topLeftCell="B19" zoomScale="70" zoomScaleNormal="70" workbookViewId="0">
      <selection activeCell="C46" sqref="C46"/>
    </sheetView>
  </sheetViews>
  <sheetFormatPr defaultColWidth="9" defaultRowHeight="15" x14ac:dyDescent="0.25"/>
  <cols>
    <col min="1" max="1" width="4.7109375" customWidth="1"/>
    <col min="3" max="3" width="44" customWidth="1"/>
    <col min="4" max="4" width="21.85546875" customWidth="1"/>
    <col min="6" max="6" width="21.140625" customWidth="1"/>
    <col min="7" max="7" width="16" customWidth="1"/>
    <col min="8" max="8" width="15.140625" customWidth="1"/>
    <col min="10" max="10" width="11.140625" style="94" customWidth="1"/>
    <col min="11" max="11" width="20.28515625" customWidth="1"/>
    <col min="12" max="12" width="25.85546875" style="70" customWidth="1"/>
    <col min="13" max="13" width="36.85546875" customWidth="1"/>
    <col min="14" max="14" width="32.28515625" customWidth="1"/>
  </cols>
  <sheetData>
    <row r="1" spans="1:14" ht="16.5" x14ac:dyDescent="0.25">
      <c r="A1" s="4"/>
      <c r="B1" s="4"/>
      <c r="C1" s="159" t="s">
        <v>3</v>
      </c>
      <c r="D1" s="159"/>
      <c r="E1" s="159"/>
      <c r="F1" s="159"/>
      <c r="G1" s="159"/>
      <c r="H1" s="159"/>
      <c r="I1" s="159"/>
      <c r="J1" s="159"/>
      <c r="K1" s="159"/>
      <c r="L1" s="159"/>
      <c r="M1" s="7"/>
      <c r="N1" s="1"/>
    </row>
    <row r="2" spans="1:14" ht="18.75" x14ac:dyDescent="0.3">
      <c r="A2" s="4"/>
      <c r="B2" s="4"/>
      <c r="C2" s="160" t="s">
        <v>41</v>
      </c>
      <c r="D2" s="160"/>
      <c r="E2" s="160"/>
      <c r="F2" s="160"/>
      <c r="G2" s="160"/>
      <c r="H2" s="160"/>
      <c r="I2" s="160"/>
      <c r="J2" s="160"/>
      <c r="K2" s="160"/>
      <c r="L2" s="160"/>
      <c r="M2" s="8"/>
      <c r="N2" s="1"/>
    </row>
    <row r="3" spans="1:14" ht="15.75" x14ac:dyDescent="0.25">
      <c r="A3" s="4"/>
      <c r="B3" s="4"/>
      <c r="C3" s="9"/>
      <c r="D3" s="1"/>
      <c r="E3" s="5"/>
      <c r="F3" s="6"/>
      <c r="G3" s="1"/>
      <c r="H3" s="1"/>
      <c r="I3" s="1"/>
      <c r="J3" s="89"/>
      <c r="K3" s="1"/>
      <c r="L3" s="10"/>
      <c r="M3" s="1"/>
      <c r="N3" s="1"/>
    </row>
    <row r="4" spans="1:14" ht="17.25" x14ac:dyDescent="0.25">
      <c r="A4" s="4"/>
      <c r="B4" s="4"/>
      <c r="C4" s="161" t="s">
        <v>4</v>
      </c>
      <c r="D4" s="161"/>
      <c r="E4" s="5"/>
      <c r="F4" s="6"/>
      <c r="G4" s="1"/>
      <c r="H4" s="1"/>
      <c r="I4" s="1"/>
      <c r="J4" s="162" t="s">
        <v>5</v>
      </c>
      <c r="K4" s="162"/>
      <c r="L4" s="162"/>
      <c r="M4" s="11"/>
      <c r="N4" s="12"/>
    </row>
    <row r="5" spans="1:14" ht="17.25" x14ac:dyDescent="0.25">
      <c r="A5" s="4"/>
      <c r="B5" s="4"/>
      <c r="C5" s="161"/>
      <c r="D5" s="161"/>
      <c r="E5" s="5"/>
      <c r="F5" s="6"/>
      <c r="G5" s="1"/>
      <c r="H5" s="1"/>
      <c r="I5" s="1"/>
      <c r="J5" s="162"/>
      <c r="K5" s="162"/>
      <c r="L5" s="162"/>
      <c r="M5" s="11"/>
      <c r="N5" s="12"/>
    </row>
    <row r="6" spans="1:14" ht="16.5" x14ac:dyDescent="0.25">
      <c r="A6" s="4"/>
      <c r="B6" s="4"/>
      <c r="C6" s="163" t="s">
        <v>6</v>
      </c>
      <c r="D6" s="163"/>
      <c r="E6" s="163"/>
      <c r="F6" s="163"/>
      <c r="G6" s="163"/>
      <c r="H6" s="163"/>
      <c r="I6" s="163"/>
      <c r="J6" s="163"/>
      <c r="K6" s="163"/>
      <c r="L6" s="163"/>
      <c r="M6" s="13"/>
      <c r="N6" s="1"/>
    </row>
    <row r="7" spans="1:14" ht="36.950000000000003" customHeight="1" x14ac:dyDescent="0.25">
      <c r="A7" s="14"/>
      <c r="B7" s="14"/>
      <c r="C7" s="164" t="s">
        <v>79</v>
      </c>
      <c r="D7" s="164"/>
      <c r="E7" s="164"/>
      <c r="F7" s="164"/>
      <c r="G7" s="164"/>
      <c r="H7" s="164"/>
      <c r="I7" s="164"/>
      <c r="J7" s="164"/>
      <c r="K7" s="164"/>
      <c r="L7" s="164"/>
      <c r="M7" s="15"/>
      <c r="N7" s="2"/>
    </row>
    <row r="8" spans="1:14" ht="15.75" x14ac:dyDescent="0.25">
      <c r="A8" s="14"/>
      <c r="B8" s="14"/>
      <c r="C8" s="155"/>
      <c r="D8" s="155"/>
      <c r="E8" s="155"/>
      <c r="F8" s="155"/>
      <c r="G8" s="155"/>
      <c r="H8" s="155"/>
      <c r="I8" s="155"/>
      <c r="J8" s="155"/>
      <c r="K8" s="155"/>
      <c r="L8" s="155"/>
      <c r="M8" s="16"/>
      <c r="N8" s="2"/>
    </row>
    <row r="9" spans="1:14" ht="18.95" customHeight="1" x14ac:dyDescent="0.25">
      <c r="A9" s="17" t="s">
        <v>7</v>
      </c>
      <c r="B9" s="17"/>
      <c r="C9" s="156" t="s">
        <v>6</v>
      </c>
      <c r="D9" s="156"/>
      <c r="E9" s="156"/>
      <c r="F9" s="156"/>
      <c r="G9" s="156"/>
      <c r="H9" s="156"/>
      <c r="I9" s="156"/>
      <c r="J9" s="156"/>
      <c r="K9" s="156"/>
      <c r="L9" s="156"/>
      <c r="M9" s="18"/>
      <c r="N9" s="2"/>
    </row>
    <row r="10" spans="1:14" ht="16.5" thickBot="1" x14ac:dyDescent="0.3">
      <c r="A10" s="14"/>
      <c r="B10" s="14"/>
      <c r="C10" s="16"/>
      <c r="D10" s="16"/>
      <c r="E10" s="16"/>
      <c r="F10" s="16"/>
      <c r="G10" s="16"/>
      <c r="H10" s="16"/>
      <c r="I10" s="16"/>
      <c r="J10" s="90"/>
      <c r="K10" s="16"/>
      <c r="L10" s="19"/>
      <c r="M10" s="16"/>
    </row>
    <row r="11" spans="1:14" ht="78.75" x14ac:dyDescent="0.25">
      <c r="A11" s="108" t="s">
        <v>8</v>
      </c>
      <c r="B11" s="109" t="s">
        <v>8</v>
      </c>
      <c r="C11" s="110" t="s">
        <v>9</v>
      </c>
      <c r="D11" s="110" t="s">
        <v>10</v>
      </c>
      <c r="E11" s="111" t="s">
        <v>11</v>
      </c>
      <c r="F11" s="112" t="s">
        <v>12</v>
      </c>
      <c r="G11" s="113" t="s">
        <v>13</v>
      </c>
      <c r="H11" s="111" t="s">
        <v>14</v>
      </c>
      <c r="I11" s="111" t="s">
        <v>15</v>
      </c>
      <c r="J11" s="114" t="s">
        <v>16</v>
      </c>
      <c r="K11" s="115" t="s">
        <v>17</v>
      </c>
      <c r="L11" s="115" t="s">
        <v>18</v>
      </c>
      <c r="M11" s="116" t="s">
        <v>19</v>
      </c>
    </row>
    <row r="12" spans="1:14" ht="15.75" x14ac:dyDescent="0.25">
      <c r="A12" s="28">
        <v>1</v>
      </c>
      <c r="B12" s="29">
        <v>1</v>
      </c>
      <c r="C12" s="30" t="s">
        <v>20</v>
      </c>
      <c r="D12" s="31"/>
      <c r="E12" s="32"/>
      <c r="F12" s="32"/>
      <c r="G12" s="32"/>
      <c r="H12" s="32"/>
      <c r="I12" s="32"/>
      <c r="J12" s="92"/>
      <c r="K12" s="32"/>
      <c r="L12" s="32"/>
      <c r="M12" s="33"/>
    </row>
    <row r="13" spans="1:14" ht="94.5" x14ac:dyDescent="0.25">
      <c r="A13" s="28"/>
      <c r="B13" s="117" t="s">
        <v>21</v>
      </c>
      <c r="C13" s="118" t="s">
        <v>78</v>
      </c>
      <c r="D13" s="31"/>
      <c r="E13" s="119">
        <v>32</v>
      </c>
      <c r="F13" s="120">
        <f>12847600000000000/(102300000*12*22*8)</f>
        <v>59463.772623596669</v>
      </c>
      <c r="G13" s="121"/>
      <c r="H13" s="121"/>
      <c r="I13" s="122">
        <v>1</v>
      </c>
      <c r="J13" s="123">
        <v>1</v>
      </c>
      <c r="K13" s="43">
        <f>E13*F13+G13+H13</f>
        <v>1902840.7239550934</v>
      </c>
      <c r="L13" s="43">
        <f>K13*I13*J13</f>
        <v>1902840.7239550934</v>
      </c>
      <c r="M13" s="33"/>
    </row>
    <row r="14" spans="1:14" ht="63" x14ac:dyDescent="0.25">
      <c r="A14" s="34"/>
      <c r="B14" s="45" t="s">
        <v>22</v>
      </c>
      <c r="C14" s="46" t="s">
        <v>120</v>
      </c>
      <c r="D14" s="47"/>
      <c r="E14" s="149"/>
      <c r="F14" s="39"/>
      <c r="G14" s="40">
        <f>3*70000000*4+3*55000000*4+5*40000000*4+5*30000000*4</f>
        <v>2900000000</v>
      </c>
      <c r="H14" s="40"/>
      <c r="I14" s="41">
        <v>1</v>
      </c>
      <c r="J14" s="88">
        <v>1</v>
      </c>
      <c r="K14" s="42">
        <f t="shared" ref="K14:K17" si="0">E14*F14+G14+H14</f>
        <v>2900000000</v>
      </c>
      <c r="L14" s="43">
        <f t="shared" ref="L14:L17" si="1">K14*I14*J14</f>
        <v>2900000000</v>
      </c>
      <c r="M14" s="44" t="s">
        <v>146</v>
      </c>
    </row>
    <row r="15" spans="1:14" ht="63" x14ac:dyDescent="0.25">
      <c r="A15" s="34"/>
      <c r="B15" s="45" t="s">
        <v>23</v>
      </c>
      <c r="C15" s="49" t="s">
        <v>121</v>
      </c>
      <c r="D15" s="50"/>
      <c r="E15" s="149"/>
      <c r="F15" s="39"/>
      <c r="G15" s="40">
        <f>3*70000000*4+3*55000000*4+5*40000000*4+5*30000000*4</f>
        <v>2900000000</v>
      </c>
      <c r="H15" s="40"/>
      <c r="I15" s="41">
        <v>1</v>
      </c>
      <c r="J15" s="88">
        <v>1</v>
      </c>
      <c r="K15" s="42">
        <f t="shared" si="0"/>
        <v>2900000000</v>
      </c>
      <c r="L15" s="43">
        <f t="shared" si="1"/>
        <v>2900000000</v>
      </c>
      <c r="M15" s="48" t="s">
        <v>149</v>
      </c>
    </row>
    <row r="16" spans="1:14" ht="63" x14ac:dyDescent="0.25">
      <c r="A16" s="34"/>
      <c r="B16" s="35" t="s">
        <v>24</v>
      </c>
      <c r="C16" s="51" t="s">
        <v>122</v>
      </c>
      <c r="D16" s="37"/>
      <c r="E16" s="149"/>
      <c r="F16" s="39"/>
      <c r="G16" s="40">
        <f>1*70000000*4+2*55000000*4+2*40000000*4+3*30000000*4</f>
        <v>1400000000</v>
      </c>
      <c r="H16" s="40"/>
      <c r="I16" s="41">
        <v>1</v>
      </c>
      <c r="J16" s="88">
        <v>1</v>
      </c>
      <c r="K16" s="42">
        <f t="shared" si="0"/>
        <v>1400000000</v>
      </c>
      <c r="L16" s="43">
        <f t="shared" si="1"/>
        <v>1400000000</v>
      </c>
      <c r="M16" s="44" t="s">
        <v>148</v>
      </c>
    </row>
    <row r="17" spans="1:13" ht="78.75" x14ac:dyDescent="0.25">
      <c r="A17" s="34"/>
      <c r="B17" s="35" t="s">
        <v>98</v>
      </c>
      <c r="C17" s="52" t="s">
        <v>123</v>
      </c>
      <c r="D17" s="37"/>
      <c r="E17" s="149"/>
      <c r="F17" s="39"/>
      <c r="G17" s="40">
        <f>5*70000000*6+10*55000000*6+7*40000000*6+8*30000000*6</f>
        <v>8520000000</v>
      </c>
      <c r="H17" s="40"/>
      <c r="I17" s="41">
        <v>1</v>
      </c>
      <c r="J17" s="88">
        <v>1</v>
      </c>
      <c r="K17" s="42">
        <f t="shared" si="0"/>
        <v>8520000000</v>
      </c>
      <c r="L17" s="43">
        <f t="shared" si="1"/>
        <v>8520000000</v>
      </c>
      <c r="M17" s="44" t="s">
        <v>145</v>
      </c>
    </row>
    <row r="18" spans="1:13" ht="101.45" customHeight="1" x14ac:dyDescent="0.25">
      <c r="A18" s="28"/>
      <c r="B18" s="117" t="s">
        <v>25</v>
      </c>
      <c r="C18" s="124" t="s">
        <v>73</v>
      </c>
      <c r="D18" s="125"/>
      <c r="E18" s="119"/>
      <c r="F18" s="120"/>
      <c r="G18" s="121">
        <f>1*70000000*2+2*55000000*2+1*40000000*2+1*30000000*2</f>
        <v>500000000</v>
      </c>
      <c r="H18" s="121"/>
      <c r="I18" s="122">
        <v>1</v>
      </c>
      <c r="J18" s="123">
        <v>1</v>
      </c>
      <c r="K18" s="43">
        <f>E18*F18+G18+H18</f>
        <v>500000000</v>
      </c>
      <c r="L18" s="43">
        <f>K18*I18*J18</f>
        <v>500000000</v>
      </c>
      <c r="M18" s="33" t="s">
        <v>147</v>
      </c>
    </row>
    <row r="19" spans="1:13" ht="206.45" customHeight="1" x14ac:dyDescent="0.25">
      <c r="A19" s="28"/>
      <c r="B19" s="117" t="s">
        <v>124</v>
      </c>
      <c r="C19" s="126" t="s">
        <v>74</v>
      </c>
      <c r="D19" s="31"/>
      <c r="E19" s="127"/>
      <c r="F19" s="120"/>
      <c r="G19" s="121">
        <f>2*70000000*7+5*55000000*7+4*40000000*7+1*30000000*7</f>
        <v>4235000000</v>
      </c>
      <c r="H19" s="121"/>
      <c r="I19" s="122">
        <v>1</v>
      </c>
      <c r="J19" s="123">
        <v>1</v>
      </c>
      <c r="K19" s="43">
        <f t="shared" ref="K19:K23" si="2">E19*F19+G19+H19</f>
        <v>4235000000</v>
      </c>
      <c r="L19" s="43">
        <f t="shared" ref="L19:L35" si="3">K19*I19*J19</f>
        <v>4235000000</v>
      </c>
      <c r="M19" s="128" t="s">
        <v>61</v>
      </c>
    </row>
    <row r="20" spans="1:13" ht="157.5" x14ac:dyDescent="0.25">
      <c r="A20" s="28"/>
      <c r="B20" s="129" t="s">
        <v>127</v>
      </c>
      <c r="C20" s="130" t="s">
        <v>90</v>
      </c>
      <c r="D20" s="131"/>
      <c r="E20" s="127"/>
      <c r="F20" s="120"/>
      <c r="G20" s="121">
        <f>3*70000000*7+8*55000000*7+5*40000000*7+3*30000000*7</f>
        <v>6580000000</v>
      </c>
      <c r="H20" s="121"/>
      <c r="I20" s="122">
        <v>1</v>
      </c>
      <c r="J20" s="123">
        <v>1</v>
      </c>
      <c r="K20" s="43">
        <f t="shared" si="2"/>
        <v>6580000000</v>
      </c>
      <c r="L20" s="43">
        <f t="shared" si="3"/>
        <v>6580000000</v>
      </c>
      <c r="M20" s="128" t="s">
        <v>68</v>
      </c>
    </row>
    <row r="21" spans="1:13" ht="47.25" x14ac:dyDescent="0.25">
      <c r="A21" s="34"/>
      <c r="B21" s="45" t="s">
        <v>128</v>
      </c>
      <c r="C21" s="46" t="s">
        <v>130</v>
      </c>
      <c r="D21" s="47"/>
      <c r="E21" s="38"/>
      <c r="F21" s="39"/>
      <c r="G21" s="121">
        <f>3*70000000*7+8*55000000*7+5*40000000*7+3*30000000*7</f>
        <v>6580000000</v>
      </c>
      <c r="H21" s="40"/>
      <c r="I21" s="41">
        <v>1</v>
      </c>
      <c r="J21" s="88">
        <v>1</v>
      </c>
      <c r="K21" s="42">
        <f t="shared" si="2"/>
        <v>6580000000</v>
      </c>
      <c r="L21" s="43">
        <f t="shared" si="3"/>
        <v>6580000000</v>
      </c>
      <c r="M21" s="128" t="s">
        <v>68</v>
      </c>
    </row>
    <row r="22" spans="1:13" ht="78.75" x14ac:dyDescent="0.25">
      <c r="A22" s="34"/>
      <c r="B22" s="45" t="s">
        <v>129</v>
      </c>
      <c r="C22" s="49" t="s">
        <v>143</v>
      </c>
      <c r="D22" s="50"/>
      <c r="E22" s="38"/>
      <c r="F22" s="39"/>
      <c r="G22" s="40">
        <f>7*70000000*8+14*55000000*8+9*40000000*8+4*30000000*8</f>
        <v>13920000000</v>
      </c>
      <c r="H22" s="40"/>
      <c r="I22" s="41">
        <v>1</v>
      </c>
      <c r="J22" s="88">
        <v>1</v>
      </c>
      <c r="K22" s="42">
        <f t="shared" si="2"/>
        <v>13920000000</v>
      </c>
      <c r="L22" s="43">
        <f t="shared" si="3"/>
        <v>13920000000</v>
      </c>
      <c r="M22" s="48" t="s">
        <v>144</v>
      </c>
    </row>
    <row r="23" spans="1:13" ht="78.75" x14ac:dyDescent="0.25">
      <c r="A23" s="34"/>
      <c r="B23" s="35">
        <v>1.1100000000000001</v>
      </c>
      <c r="C23" s="150" t="s">
        <v>126</v>
      </c>
      <c r="D23" s="37"/>
      <c r="E23" s="38"/>
      <c r="F23" s="39"/>
      <c r="G23" s="40">
        <f>1*70000000*4+4*55000000*4+3*40000000*4+2*30000000*4</f>
        <v>1880000000</v>
      </c>
      <c r="H23" s="40"/>
      <c r="I23" s="41">
        <v>1</v>
      </c>
      <c r="J23" s="88">
        <v>1</v>
      </c>
      <c r="K23" s="42">
        <f t="shared" si="2"/>
        <v>1880000000</v>
      </c>
      <c r="L23" s="43">
        <f t="shared" si="3"/>
        <v>1880000000</v>
      </c>
      <c r="M23" s="48" t="s">
        <v>125</v>
      </c>
    </row>
    <row r="24" spans="1:13" ht="15.75" x14ac:dyDescent="0.25">
      <c r="A24" s="28">
        <v>2</v>
      </c>
      <c r="B24" s="29">
        <v>2</v>
      </c>
      <c r="C24" s="30" t="s">
        <v>26</v>
      </c>
      <c r="D24" s="30" t="s">
        <v>27</v>
      </c>
      <c r="E24" s="132">
        <v>8</v>
      </c>
      <c r="F24" s="120">
        <f>F13</f>
        <v>59463.772623596669</v>
      </c>
      <c r="G24" s="121"/>
      <c r="H24" s="121"/>
      <c r="I24" s="133">
        <v>1</v>
      </c>
      <c r="J24" s="123">
        <v>1</v>
      </c>
      <c r="K24" s="43">
        <f t="shared" ref="K24" si="4">H24+G24+(E24*F24)</f>
        <v>475710.18098877335</v>
      </c>
      <c r="L24" s="43">
        <f t="shared" si="3"/>
        <v>475710.18098877335</v>
      </c>
      <c r="M24" s="33" t="s">
        <v>104</v>
      </c>
    </row>
    <row r="25" spans="1:13" ht="15.75" x14ac:dyDescent="0.25">
      <c r="A25" s="28"/>
      <c r="B25" s="29"/>
      <c r="C25" s="30"/>
      <c r="D25" s="30" t="s">
        <v>28</v>
      </c>
      <c r="E25" s="132">
        <v>4</v>
      </c>
      <c r="F25" s="120">
        <f>F24</f>
        <v>59463.772623596669</v>
      </c>
      <c r="G25" s="134"/>
      <c r="H25" s="121"/>
      <c r="I25" s="133">
        <v>1</v>
      </c>
      <c r="J25" s="123">
        <v>1</v>
      </c>
      <c r="K25" s="43">
        <f>H25+(E25*F25)</f>
        <v>237855.09049438668</v>
      </c>
      <c r="L25" s="43">
        <f t="shared" si="3"/>
        <v>237855.09049438668</v>
      </c>
      <c r="M25" s="33"/>
    </row>
    <row r="26" spans="1:13" ht="15.75" x14ac:dyDescent="0.25">
      <c r="A26" s="28"/>
      <c r="B26" s="29"/>
      <c r="C26" s="30"/>
      <c r="D26" s="30" t="s">
        <v>29</v>
      </c>
      <c r="E26" s="132"/>
      <c r="F26" s="120"/>
      <c r="G26" s="121"/>
      <c r="H26" s="121"/>
      <c r="I26" s="133"/>
      <c r="J26" s="123"/>
      <c r="K26" s="43"/>
      <c r="L26" s="43"/>
      <c r="M26" s="33"/>
    </row>
    <row r="27" spans="1:13" ht="15.75" x14ac:dyDescent="0.25">
      <c r="A27" s="28">
        <v>3</v>
      </c>
      <c r="B27" s="29">
        <v>3</v>
      </c>
      <c r="C27" s="30" t="s">
        <v>30</v>
      </c>
      <c r="D27" s="30"/>
      <c r="E27" s="132"/>
      <c r="F27" s="120"/>
      <c r="G27" s="121"/>
      <c r="H27" s="135"/>
      <c r="I27" s="122"/>
      <c r="J27" s="123"/>
      <c r="K27" s="43"/>
      <c r="L27" s="43">
        <f t="shared" si="3"/>
        <v>0</v>
      </c>
      <c r="M27" s="33"/>
    </row>
    <row r="28" spans="1:13" ht="15.75" x14ac:dyDescent="0.25">
      <c r="A28" s="136">
        <v>3.1</v>
      </c>
      <c r="B28" s="137"/>
      <c r="C28" s="30" t="s">
        <v>32</v>
      </c>
      <c r="D28" s="30"/>
      <c r="E28" s="132">
        <v>0</v>
      </c>
      <c r="F28" s="120">
        <v>0</v>
      </c>
      <c r="G28" s="121">
        <v>0</v>
      </c>
      <c r="H28" s="121">
        <v>0</v>
      </c>
      <c r="I28" s="122">
        <v>0</v>
      </c>
      <c r="J28" s="123">
        <v>0</v>
      </c>
      <c r="K28" s="43"/>
      <c r="L28" s="43">
        <f t="shared" si="3"/>
        <v>0</v>
      </c>
      <c r="M28" s="33"/>
    </row>
    <row r="29" spans="1:13" ht="15.75" x14ac:dyDescent="0.25">
      <c r="A29" s="136">
        <v>3.2</v>
      </c>
      <c r="B29" s="137"/>
      <c r="C29" s="30" t="s">
        <v>31</v>
      </c>
      <c r="D29" s="30"/>
      <c r="E29" s="132"/>
      <c r="F29" s="120"/>
      <c r="G29" s="121"/>
      <c r="H29" s="121">
        <f>4000000*4</f>
        <v>16000000</v>
      </c>
      <c r="I29" s="122">
        <v>1</v>
      </c>
      <c r="J29" s="123">
        <v>1</v>
      </c>
      <c r="K29" s="43">
        <f>H29+G29+(E29*F29)</f>
        <v>16000000</v>
      </c>
      <c r="L29" s="43">
        <f t="shared" si="3"/>
        <v>16000000</v>
      </c>
      <c r="M29" s="33" t="s">
        <v>104</v>
      </c>
    </row>
    <row r="30" spans="1:13" ht="15.75" x14ac:dyDescent="0.25">
      <c r="A30" s="136"/>
      <c r="B30" s="137"/>
      <c r="C30" s="30" t="s">
        <v>33</v>
      </c>
      <c r="D30" s="30"/>
      <c r="E30" s="132">
        <v>0</v>
      </c>
      <c r="F30" s="120">
        <v>0</v>
      </c>
      <c r="G30" s="121">
        <v>0</v>
      </c>
      <c r="H30" s="121">
        <v>0</v>
      </c>
      <c r="I30" s="122">
        <v>0</v>
      </c>
      <c r="J30" s="123"/>
      <c r="K30" s="43">
        <f t="shared" ref="K30:K33" si="5">H30+G30+(E30*F30)</f>
        <v>0</v>
      </c>
      <c r="L30" s="43">
        <f t="shared" si="3"/>
        <v>0</v>
      </c>
      <c r="M30" s="33"/>
    </row>
    <row r="31" spans="1:13" ht="31.5" x14ac:dyDescent="0.25">
      <c r="A31" s="136"/>
      <c r="B31" s="138">
        <v>4</v>
      </c>
      <c r="C31" s="30" t="s">
        <v>34</v>
      </c>
      <c r="D31" s="30"/>
      <c r="E31" s="132"/>
      <c r="F31" s="120"/>
      <c r="G31" s="121"/>
      <c r="H31" s="121"/>
      <c r="I31" s="122"/>
      <c r="J31" s="123"/>
      <c r="K31" s="43">
        <f t="shared" si="5"/>
        <v>0</v>
      </c>
      <c r="L31" s="43">
        <f t="shared" si="3"/>
        <v>0</v>
      </c>
      <c r="M31" s="33"/>
    </row>
    <row r="32" spans="1:13" ht="78.75" x14ac:dyDescent="0.25">
      <c r="A32" s="136"/>
      <c r="B32" s="137" t="s">
        <v>35</v>
      </c>
      <c r="C32" s="31" t="s">
        <v>36</v>
      </c>
      <c r="D32" s="30"/>
      <c r="E32" s="132"/>
      <c r="F32" s="120"/>
      <c r="G32" s="121">
        <f>(1*70000000*1+1*55000000*1+1*40000000*1+1*30000000*1)*4</f>
        <v>780000000</v>
      </c>
      <c r="H32" s="121"/>
      <c r="I32" s="122">
        <v>1</v>
      </c>
      <c r="J32" s="123">
        <v>1</v>
      </c>
      <c r="K32" s="43">
        <f t="shared" si="5"/>
        <v>780000000</v>
      </c>
      <c r="L32" s="43">
        <f t="shared" si="3"/>
        <v>780000000</v>
      </c>
      <c r="M32" s="33" t="s">
        <v>99</v>
      </c>
    </row>
    <row r="33" spans="1:13" ht="78.75" x14ac:dyDescent="0.25">
      <c r="A33" s="136"/>
      <c r="B33" s="137" t="s">
        <v>37</v>
      </c>
      <c r="C33" s="31" t="s">
        <v>38</v>
      </c>
      <c r="D33" s="31"/>
      <c r="E33" s="132"/>
      <c r="F33" s="120"/>
      <c r="G33" s="121">
        <f>(3*70000000*6+4*55000000*6+4*40000000*6+3*30000000*6)*4</f>
        <v>16320000000</v>
      </c>
      <c r="H33" s="121"/>
      <c r="I33" s="122">
        <v>1</v>
      </c>
      <c r="J33" s="123">
        <v>1</v>
      </c>
      <c r="K33" s="43">
        <f t="shared" si="5"/>
        <v>16320000000</v>
      </c>
      <c r="L33" s="43">
        <f t="shared" si="3"/>
        <v>16320000000</v>
      </c>
      <c r="M33" s="33" t="s">
        <v>150</v>
      </c>
    </row>
    <row r="34" spans="1:13" ht="15.75" x14ac:dyDescent="0.25">
      <c r="A34" s="136"/>
      <c r="B34" s="138">
        <v>5</v>
      </c>
      <c r="C34" s="30" t="s">
        <v>39</v>
      </c>
      <c r="D34" s="30"/>
      <c r="E34" s="132"/>
      <c r="F34" s="120"/>
      <c r="G34" s="121"/>
      <c r="H34" s="121"/>
      <c r="I34" s="122"/>
      <c r="J34" s="123"/>
      <c r="K34" s="43"/>
      <c r="L34" s="43">
        <f t="shared" si="3"/>
        <v>0</v>
      </c>
      <c r="M34" s="33"/>
    </row>
    <row r="35" spans="1:13" ht="15.75" x14ac:dyDescent="0.25">
      <c r="A35" s="136"/>
      <c r="B35" s="138">
        <v>6</v>
      </c>
      <c r="C35" s="30" t="s">
        <v>40</v>
      </c>
      <c r="D35" s="30" t="s">
        <v>27</v>
      </c>
      <c r="E35" s="132">
        <v>8</v>
      </c>
      <c r="F35" s="120">
        <f>F13</f>
        <v>59463.772623596669</v>
      </c>
      <c r="G35" s="121"/>
      <c r="H35" s="121"/>
      <c r="I35" s="122">
        <v>1</v>
      </c>
      <c r="J35" s="123">
        <v>1</v>
      </c>
      <c r="K35" s="43">
        <f>H35+G35+(E35*F35)</f>
        <v>475710.18098877335</v>
      </c>
      <c r="L35" s="43">
        <f t="shared" si="3"/>
        <v>475710.18098877335</v>
      </c>
      <c r="M35" s="33"/>
    </row>
    <row r="36" spans="1:13" ht="15.75" x14ac:dyDescent="0.25">
      <c r="A36" s="136"/>
      <c r="B36" s="137"/>
      <c r="C36" s="30"/>
      <c r="D36" s="30" t="s">
        <v>28</v>
      </c>
      <c r="E36" s="132">
        <v>4</v>
      </c>
      <c r="F36" s="120">
        <f>F35</f>
        <v>59463.772623596669</v>
      </c>
      <c r="G36" s="134"/>
      <c r="H36" s="121"/>
      <c r="I36" s="122">
        <v>1</v>
      </c>
      <c r="J36" s="123">
        <v>1</v>
      </c>
      <c r="K36" s="43">
        <f>H36+(E36*F36)</f>
        <v>237855.09049438668</v>
      </c>
      <c r="L36" s="43">
        <f>K36*J36*I36</f>
        <v>237855.09049438668</v>
      </c>
      <c r="M36" s="33"/>
    </row>
    <row r="37" spans="1:13" ht="15.75" x14ac:dyDescent="0.25">
      <c r="A37" s="139">
        <v>4</v>
      </c>
      <c r="B37" s="117"/>
      <c r="C37" s="30"/>
      <c r="D37" s="30" t="s">
        <v>29</v>
      </c>
      <c r="E37" s="132"/>
      <c r="F37" s="120"/>
      <c r="G37" s="121"/>
      <c r="H37" s="121"/>
      <c r="I37" s="122"/>
      <c r="J37" s="123"/>
      <c r="K37" s="43"/>
      <c r="L37" s="43"/>
      <c r="M37" s="33"/>
    </row>
    <row r="38" spans="1:13" ht="16.5" thickBot="1" x14ac:dyDescent="0.3">
      <c r="A38" s="140"/>
      <c r="B38" s="141"/>
      <c r="C38" s="157" t="s">
        <v>2</v>
      </c>
      <c r="D38" s="158"/>
      <c r="E38" s="142"/>
      <c r="F38" s="143"/>
      <c r="G38" s="143">
        <f>SUM(G13:G37)</f>
        <v>66515000000</v>
      </c>
      <c r="H38" s="143">
        <f>SUM(H13:H37)</f>
        <v>16000000</v>
      </c>
      <c r="I38" s="144"/>
      <c r="J38" s="145"/>
      <c r="K38" s="68">
        <f>SUM(K13:K37)</f>
        <v>66534329971.266922</v>
      </c>
      <c r="L38" s="68">
        <f>SUM(L13:L37)</f>
        <v>66534329971.266922</v>
      </c>
      <c r="M38" s="146"/>
    </row>
    <row r="41" spans="1:13" x14ac:dyDescent="0.25">
      <c r="K41" s="147"/>
    </row>
    <row r="42" spans="1:13" x14ac:dyDescent="0.25">
      <c r="K42" s="147"/>
    </row>
    <row r="43" spans="1:13" x14ac:dyDescent="0.25">
      <c r="K43" s="147"/>
    </row>
  </sheetData>
  <mergeCells count="9">
    <mergeCell ref="C8:L8"/>
    <mergeCell ref="C9:L9"/>
    <mergeCell ref="C38:D38"/>
    <mergeCell ref="C1:L1"/>
    <mergeCell ref="C2:L2"/>
    <mergeCell ref="C4:D5"/>
    <mergeCell ref="J4:L5"/>
    <mergeCell ref="C6:L6"/>
    <mergeCell ref="C7:L7"/>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8"/>
  <sheetViews>
    <sheetView zoomScale="70" zoomScaleNormal="70" workbookViewId="0">
      <selection activeCell="G20" sqref="G20"/>
    </sheetView>
  </sheetViews>
  <sheetFormatPr defaultColWidth="9" defaultRowHeight="15" x14ac:dyDescent="0.25"/>
  <cols>
    <col min="1" max="1" width="4.7109375" customWidth="1"/>
    <col min="3" max="3" width="39.140625" customWidth="1"/>
    <col min="4" max="4" width="21.85546875" customWidth="1"/>
    <col min="6" max="6" width="21.140625" customWidth="1"/>
    <col min="7" max="7" width="16" customWidth="1"/>
    <col min="8" max="8" width="15.140625" customWidth="1"/>
    <col min="10" max="10" width="11.140625" style="94" customWidth="1"/>
    <col min="11" max="11" width="20.28515625" customWidth="1"/>
    <col min="12" max="12" width="25.85546875" style="70" customWidth="1"/>
    <col min="13" max="13" width="36.85546875" customWidth="1"/>
    <col min="14" max="14" width="32.28515625" customWidth="1"/>
  </cols>
  <sheetData>
    <row r="1" spans="1:14" ht="16.5" x14ac:dyDescent="0.25">
      <c r="A1" s="4"/>
      <c r="B1" s="4"/>
      <c r="C1" s="159" t="s">
        <v>3</v>
      </c>
      <c r="D1" s="159"/>
      <c r="E1" s="159"/>
      <c r="F1" s="159"/>
      <c r="G1" s="159"/>
      <c r="H1" s="159"/>
      <c r="I1" s="159"/>
      <c r="J1" s="159"/>
      <c r="K1" s="159"/>
      <c r="L1" s="159"/>
      <c r="M1" s="7"/>
      <c r="N1" s="1"/>
    </row>
    <row r="2" spans="1:14" ht="18.75" x14ac:dyDescent="0.3">
      <c r="A2" s="4"/>
      <c r="B2" s="4"/>
      <c r="C2" s="160" t="s">
        <v>41</v>
      </c>
      <c r="D2" s="160"/>
      <c r="E2" s="160"/>
      <c r="F2" s="160"/>
      <c r="G2" s="160"/>
      <c r="H2" s="160"/>
      <c r="I2" s="160"/>
      <c r="J2" s="160"/>
      <c r="K2" s="160"/>
      <c r="L2" s="160"/>
      <c r="M2" s="8"/>
      <c r="N2" s="1"/>
    </row>
    <row r="3" spans="1:14" ht="15.75" x14ac:dyDescent="0.25">
      <c r="A3" s="4"/>
      <c r="B3" s="4"/>
      <c r="C3" s="9"/>
      <c r="D3" s="1"/>
      <c r="E3" s="5"/>
      <c r="F3" s="6"/>
      <c r="G3" s="1"/>
      <c r="H3" s="1"/>
      <c r="I3" s="1"/>
      <c r="J3" s="89"/>
      <c r="K3" s="1"/>
      <c r="L3" s="10"/>
      <c r="M3" s="1"/>
      <c r="N3" s="1"/>
    </row>
    <row r="4" spans="1:14" ht="17.25" x14ac:dyDescent="0.25">
      <c r="A4" s="4"/>
      <c r="B4" s="4"/>
      <c r="C4" s="161" t="s">
        <v>4</v>
      </c>
      <c r="D4" s="161"/>
      <c r="E4" s="5"/>
      <c r="F4" s="6"/>
      <c r="G4" s="1"/>
      <c r="H4" s="1"/>
      <c r="I4" s="1"/>
      <c r="J4" s="162" t="s">
        <v>5</v>
      </c>
      <c r="K4" s="162"/>
      <c r="L4" s="162"/>
      <c r="M4" s="11"/>
      <c r="N4" s="12"/>
    </row>
    <row r="5" spans="1:14" ht="17.25" x14ac:dyDescent="0.25">
      <c r="A5" s="4"/>
      <c r="B5" s="4"/>
      <c r="C5" s="161"/>
      <c r="D5" s="161"/>
      <c r="E5" s="5"/>
      <c r="F5" s="6"/>
      <c r="G5" s="1"/>
      <c r="H5" s="1"/>
      <c r="I5" s="1"/>
      <c r="J5" s="162"/>
      <c r="K5" s="162"/>
      <c r="L5" s="162"/>
      <c r="M5" s="11"/>
      <c r="N5" s="12"/>
    </row>
    <row r="6" spans="1:14" ht="16.5" x14ac:dyDescent="0.25">
      <c r="A6" s="4"/>
      <c r="B6" s="4"/>
      <c r="C6" s="163" t="s">
        <v>6</v>
      </c>
      <c r="D6" s="163"/>
      <c r="E6" s="163"/>
      <c r="F6" s="163"/>
      <c r="G6" s="163"/>
      <c r="H6" s="163"/>
      <c r="I6" s="163"/>
      <c r="J6" s="163"/>
      <c r="K6" s="163"/>
      <c r="L6" s="163"/>
      <c r="M6" s="13"/>
      <c r="N6" s="1"/>
    </row>
    <row r="7" spans="1:14" ht="16.5" x14ac:dyDescent="0.25">
      <c r="A7" s="14"/>
      <c r="B7" s="14"/>
      <c r="C7" s="164" t="s">
        <v>75</v>
      </c>
      <c r="D7" s="164"/>
      <c r="E7" s="164"/>
      <c r="F7" s="164"/>
      <c r="G7" s="164"/>
      <c r="H7" s="164"/>
      <c r="I7" s="164"/>
      <c r="J7" s="164"/>
      <c r="K7" s="164"/>
      <c r="L7" s="164"/>
      <c r="M7" s="15"/>
      <c r="N7" s="2"/>
    </row>
    <row r="8" spans="1:14" ht="15.75" x14ac:dyDescent="0.25">
      <c r="A8" s="14"/>
      <c r="B8" s="14"/>
      <c r="C8" s="155"/>
      <c r="D8" s="155"/>
      <c r="E8" s="155"/>
      <c r="F8" s="155"/>
      <c r="G8" s="155"/>
      <c r="H8" s="155"/>
      <c r="I8" s="155"/>
      <c r="J8" s="155"/>
      <c r="K8" s="155"/>
      <c r="L8" s="155"/>
      <c r="M8" s="16"/>
      <c r="N8" s="2"/>
    </row>
    <row r="9" spans="1:14" ht="15.75" x14ac:dyDescent="0.25">
      <c r="A9" s="17" t="s">
        <v>7</v>
      </c>
      <c r="B9" s="17"/>
      <c r="C9" s="156" t="s">
        <v>6</v>
      </c>
      <c r="D9" s="156"/>
      <c r="E9" s="156"/>
      <c r="F9" s="156"/>
      <c r="G9" s="156"/>
      <c r="H9" s="156"/>
      <c r="I9" s="156"/>
      <c r="J9" s="156"/>
      <c r="K9" s="156"/>
      <c r="L9" s="156"/>
      <c r="M9" s="18"/>
      <c r="N9" s="2"/>
    </row>
    <row r="10" spans="1:14" ht="16.5" thickBot="1" x14ac:dyDescent="0.3">
      <c r="A10" s="14"/>
      <c r="B10" s="14"/>
      <c r="C10" s="16"/>
      <c r="D10" s="16"/>
      <c r="E10" s="16"/>
      <c r="F10" s="16"/>
      <c r="G10" s="16"/>
      <c r="H10" s="16"/>
      <c r="I10" s="16"/>
      <c r="J10" s="90"/>
      <c r="K10" s="16"/>
      <c r="L10" s="19"/>
      <c r="M10" s="16"/>
    </row>
    <row r="11" spans="1:14" ht="78.75" x14ac:dyDescent="0.25">
      <c r="A11" s="20" t="s">
        <v>8</v>
      </c>
      <c r="B11" s="21" t="s">
        <v>8</v>
      </c>
      <c r="C11" s="22" t="s">
        <v>9</v>
      </c>
      <c r="D11" s="22" t="s">
        <v>10</v>
      </c>
      <c r="E11" s="23" t="s">
        <v>11</v>
      </c>
      <c r="F11" s="24" t="s">
        <v>12</v>
      </c>
      <c r="G11" s="25" t="s">
        <v>13</v>
      </c>
      <c r="H11" s="23" t="s">
        <v>14</v>
      </c>
      <c r="I11" s="23" t="s">
        <v>15</v>
      </c>
      <c r="J11" s="91" t="s">
        <v>16</v>
      </c>
      <c r="K11" s="26" t="s">
        <v>17</v>
      </c>
      <c r="L11" s="26" t="s">
        <v>18</v>
      </c>
      <c r="M11" s="27" t="s">
        <v>19</v>
      </c>
    </row>
    <row r="12" spans="1:14" ht="15.75" x14ac:dyDescent="0.25">
      <c r="A12" s="28">
        <v>1</v>
      </c>
      <c r="B12" s="29">
        <v>1</v>
      </c>
      <c r="C12" s="30" t="s">
        <v>20</v>
      </c>
      <c r="D12" s="31"/>
      <c r="E12" s="32"/>
      <c r="F12" s="32"/>
      <c r="G12" s="32"/>
      <c r="H12" s="40"/>
      <c r="I12" s="32"/>
      <c r="J12" s="92"/>
      <c r="K12" s="32"/>
      <c r="L12" s="32"/>
      <c r="M12" s="33"/>
    </row>
    <row r="13" spans="1:14" ht="94.5" x14ac:dyDescent="0.25">
      <c r="A13" s="34"/>
      <c r="B13" s="35" t="s">
        <v>21</v>
      </c>
      <c r="C13" s="36" t="s">
        <v>45</v>
      </c>
      <c r="D13" s="37"/>
      <c r="E13" s="38"/>
      <c r="F13" s="39"/>
      <c r="G13" s="40"/>
      <c r="H13" s="40"/>
      <c r="I13" s="41"/>
      <c r="J13" s="88"/>
      <c r="K13" s="42"/>
      <c r="L13" s="43"/>
      <c r="M13" s="44"/>
    </row>
    <row r="14" spans="1:14" ht="15.75" x14ac:dyDescent="0.25">
      <c r="A14" s="34"/>
      <c r="B14" s="45" t="s">
        <v>52</v>
      </c>
      <c r="C14" s="36" t="s">
        <v>48</v>
      </c>
      <c r="D14" s="37"/>
      <c r="E14" s="38">
        <v>40</v>
      </c>
      <c r="F14" s="39">
        <f>12847600000000000/(102300000*12*22*8)</f>
        <v>59463.772623596669</v>
      </c>
      <c r="G14" s="40"/>
      <c r="H14" s="40"/>
      <c r="I14" s="41">
        <v>1</v>
      </c>
      <c r="J14" s="88">
        <v>1</v>
      </c>
      <c r="K14" s="42">
        <f t="shared" ref="K14:K19" si="0">E14*F14+G14+H14</f>
        <v>2378550.9049438667</v>
      </c>
      <c r="L14" s="43">
        <f t="shared" ref="L14:L19" si="1">K14*I14*J14</f>
        <v>2378550.9049438667</v>
      </c>
      <c r="M14" s="44"/>
    </row>
    <row r="15" spans="1:14" ht="236.25" x14ac:dyDescent="0.25">
      <c r="A15" s="34"/>
      <c r="B15" s="45" t="s">
        <v>53</v>
      </c>
      <c r="C15" s="36" t="s">
        <v>50</v>
      </c>
      <c r="D15" s="37"/>
      <c r="E15" s="38">
        <v>40</v>
      </c>
      <c r="F15" s="39">
        <f>12847600000000000/(102300000*12*22*8)</f>
        <v>59463.772623596669</v>
      </c>
      <c r="G15" s="40"/>
      <c r="H15" s="40"/>
      <c r="I15" s="41">
        <v>1</v>
      </c>
      <c r="J15" s="88">
        <v>1</v>
      </c>
      <c r="K15" s="42">
        <f t="shared" si="0"/>
        <v>2378550.9049438667</v>
      </c>
      <c r="L15" s="43">
        <f t="shared" si="1"/>
        <v>2378550.9049438667</v>
      </c>
      <c r="M15" s="44" t="s">
        <v>70</v>
      </c>
    </row>
    <row r="16" spans="1:14" ht="47.25" x14ac:dyDescent="0.25">
      <c r="A16" s="34"/>
      <c r="B16" s="45" t="s">
        <v>54</v>
      </c>
      <c r="C16" s="36" t="s">
        <v>57</v>
      </c>
      <c r="D16" s="37"/>
      <c r="E16" s="38"/>
      <c r="F16" s="39"/>
      <c r="G16" s="40">
        <f>2*70000000*4+3*55000000*4+3*40000000*4+3*30000000*4</f>
        <v>2060000000</v>
      </c>
      <c r="H16" s="40"/>
      <c r="I16" s="41">
        <v>1</v>
      </c>
      <c r="J16" s="88">
        <v>1</v>
      </c>
      <c r="K16" s="42">
        <f t="shared" si="0"/>
        <v>2060000000</v>
      </c>
      <c r="L16" s="43">
        <f t="shared" si="1"/>
        <v>2060000000</v>
      </c>
      <c r="M16" s="48" t="s">
        <v>155</v>
      </c>
    </row>
    <row r="17" spans="1:13" ht="47.25" x14ac:dyDescent="0.25">
      <c r="A17" s="34"/>
      <c r="B17" s="45" t="s">
        <v>55</v>
      </c>
      <c r="C17" s="36" t="s">
        <v>58</v>
      </c>
      <c r="D17" s="37"/>
      <c r="E17" s="38"/>
      <c r="F17" s="39"/>
      <c r="G17" s="40">
        <f>2*70000000*4+4*55000000*4+4*40000000*4+6*30000000*4</f>
        <v>2800000000</v>
      </c>
      <c r="H17" s="40"/>
      <c r="I17" s="41">
        <v>1</v>
      </c>
      <c r="J17" s="88">
        <v>1</v>
      </c>
      <c r="K17" s="42">
        <f t="shared" si="0"/>
        <v>2800000000</v>
      </c>
      <c r="L17" s="43">
        <f t="shared" si="1"/>
        <v>2800000000</v>
      </c>
      <c r="M17" s="48" t="s">
        <v>154</v>
      </c>
    </row>
    <row r="18" spans="1:13" ht="141.75" x14ac:dyDescent="0.25">
      <c r="A18" s="34"/>
      <c r="B18" s="45" t="s">
        <v>56</v>
      </c>
      <c r="C18" s="36" t="s">
        <v>51</v>
      </c>
      <c r="D18" s="37"/>
      <c r="E18" s="38">
        <v>8</v>
      </c>
      <c r="F18" s="39">
        <f>F15</f>
        <v>59463.772623596669</v>
      </c>
      <c r="G18" s="40"/>
      <c r="H18" s="40"/>
      <c r="I18" s="41">
        <v>1</v>
      </c>
      <c r="J18" s="88">
        <v>1</v>
      </c>
      <c r="K18" s="42">
        <f t="shared" si="0"/>
        <v>475710.18098877335</v>
      </c>
      <c r="L18" s="43">
        <f t="shared" si="1"/>
        <v>475710.18098877335</v>
      </c>
      <c r="M18" s="44"/>
    </row>
    <row r="19" spans="1:13" ht="63" x14ac:dyDescent="0.25">
      <c r="A19" s="34"/>
      <c r="B19" s="45" t="s">
        <v>59</v>
      </c>
      <c r="C19" s="36" t="s">
        <v>49</v>
      </c>
      <c r="D19" s="37"/>
      <c r="E19" s="38"/>
      <c r="F19" s="39"/>
      <c r="G19" s="40">
        <f>1*70000000*3+1*55000000*3+1*40000000*3+1*30000000*3</f>
        <v>585000000</v>
      </c>
      <c r="H19" s="40"/>
      <c r="I19" s="41">
        <v>1</v>
      </c>
      <c r="J19" s="88">
        <v>1</v>
      </c>
      <c r="K19" s="42">
        <f t="shared" si="0"/>
        <v>585000000</v>
      </c>
      <c r="L19" s="43">
        <f t="shared" si="1"/>
        <v>585000000</v>
      </c>
      <c r="M19" s="48" t="s">
        <v>162</v>
      </c>
    </row>
    <row r="20" spans="1:13" ht="204.75" x14ac:dyDescent="0.25">
      <c r="A20" s="34"/>
      <c r="B20" s="45" t="s">
        <v>22</v>
      </c>
      <c r="C20" s="46" t="s">
        <v>42</v>
      </c>
      <c r="D20" s="50"/>
      <c r="E20" s="38"/>
      <c r="F20" s="39"/>
      <c r="G20" s="40">
        <f>3*70000000*5+4*55000000*5+4*40000000*5+5*30000000*5</f>
        <v>3700000000</v>
      </c>
      <c r="H20" s="40"/>
      <c r="I20" s="41">
        <v>1</v>
      </c>
      <c r="J20" s="88">
        <v>1</v>
      </c>
      <c r="K20" s="42">
        <f t="shared" ref="K20:K23" si="2">E20*F20+G20+H20</f>
        <v>3700000000</v>
      </c>
      <c r="L20" s="43">
        <f t="shared" ref="L20:L36" si="3">K20*I20*J20</f>
        <v>3700000000</v>
      </c>
      <c r="M20" s="48" t="s">
        <v>152</v>
      </c>
    </row>
    <row r="21" spans="1:13" ht="47.25" x14ac:dyDescent="0.25">
      <c r="A21" s="34"/>
      <c r="B21" s="35" t="s">
        <v>23</v>
      </c>
      <c r="C21" s="51" t="s">
        <v>43</v>
      </c>
      <c r="D21" s="37"/>
      <c r="E21" s="38"/>
      <c r="F21" s="39"/>
      <c r="G21" s="40">
        <f>1*70000000*3+2*55000000*3+2*40000000*3+2*30000000*3</f>
        <v>960000000</v>
      </c>
      <c r="H21" s="40"/>
      <c r="I21" s="41">
        <v>1</v>
      </c>
      <c r="J21" s="88">
        <v>1</v>
      </c>
      <c r="K21" s="42">
        <f t="shared" si="2"/>
        <v>960000000</v>
      </c>
      <c r="L21" s="43">
        <f t="shared" si="3"/>
        <v>960000000</v>
      </c>
      <c r="M21" s="48" t="s">
        <v>153</v>
      </c>
    </row>
    <row r="22" spans="1:13" ht="47.25" x14ac:dyDescent="0.25">
      <c r="A22" s="34"/>
      <c r="B22" s="45" t="s">
        <v>24</v>
      </c>
      <c r="C22" s="52" t="s">
        <v>46</v>
      </c>
      <c r="D22" s="37"/>
      <c r="E22" s="38"/>
      <c r="F22" s="39"/>
      <c r="G22" s="40">
        <f>3*70000000*6+H21*55000000*6+4*40000000*6+4*30000000*6</f>
        <v>2940000000</v>
      </c>
      <c r="H22" s="40"/>
      <c r="I22" s="41">
        <v>1</v>
      </c>
      <c r="J22" s="88">
        <v>1</v>
      </c>
      <c r="K22" s="42">
        <f t="shared" si="2"/>
        <v>2940000000</v>
      </c>
      <c r="L22" s="43">
        <f t="shared" si="3"/>
        <v>2940000000</v>
      </c>
      <c r="M22" s="48" t="s">
        <v>66</v>
      </c>
    </row>
    <row r="23" spans="1:13" ht="78.75" x14ac:dyDescent="0.25">
      <c r="A23" s="34"/>
      <c r="B23" s="35" t="s">
        <v>98</v>
      </c>
      <c r="C23" s="52" t="s">
        <v>47</v>
      </c>
      <c r="D23" s="37"/>
      <c r="E23" s="38"/>
      <c r="F23" s="39"/>
      <c r="G23" s="40">
        <f>3*70000000*5+3*55000000*5+4*40000000*5+5*30000000*5</f>
        <v>3425000000</v>
      </c>
      <c r="H23" s="40"/>
      <c r="I23" s="41">
        <v>1</v>
      </c>
      <c r="J23" s="88">
        <v>1</v>
      </c>
      <c r="K23" s="42">
        <f t="shared" si="2"/>
        <v>3425000000</v>
      </c>
      <c r="L23" s="43">
        <f t="shared" si="3"/>
        <v>3425000000</v>
      </c>
      <c r="M23" s="48" t="s">
        <v>157</v>
      </c>
    </row>
    <row r="24" spans="1:13" ht="15.75" x14ac:dyDescent="0.25">
      <c r="A24" s="34">
        <v>2</v>
      </c>
      <c r="B24" s="53">
        <v>2</v>
      </c>
      <c r="C24" s="54" t="s">
        <v>26</v>
      </c>
      <c r="D24" s="54" t="s">
        <v>27</v>
      </c>
      <c r="E24" s="55">
        <v>2</v>
      </c>
      <c r="F24" s="39">
        <v>53907</v>
      </c>
      <c r="G24" s="40"/>
      <c r="H24" s="40"/>
      <c r="I24" s="56">
        <v>1</v>
      </c>
      <c r="J24" s="88">
        <v>1</v>
      </c>
      <c r="K24" s="42">
        <f t="shared" ref="K24" si="4">H24+G24+(E24*F24)</f>
        <v>107814</v>
      </c>
      <c r="L24" s="43">
        <f t="shared" si="3"/>
        <v>107814</v>
      </c>
      <c r="M24" s="44"/>
    </row>
    <row r="25" spans="1:13" ht="15.75" x14ac:dyDescent="0.25">
      <c r="A25" s="34"/>
      <c r="B25" s="53"/>
      <c r="C25" s="54"/>
      <c r="D25" s="54" t="s">
        <v>28</v>
      </c>
      <c r="E25" s="55">
        <v>1</v>
      </c>
      <c r="F25" s="39">
        <f>F24</f>
        <v>53907</v>
      </c>
      <c r="G25" s="3"/>
      <c r="H25" s="40"/>
      <c r="I25" s="56">
        <v>1</v>
      </c>
      <c r="J25" s="88">
        <v>1</v>
      </c>
      <c r="K25" s="42">
        <f>H25+(E25*F25)</f>
        <v>53907</v>
      </c>
      <c r="L25" s="43">
        <f t="shared" si="3"/>
        <v>53907</v>
      </c>
      <c r="M25" s="44"/>
    </row>
    <row r="26" spans="1:13" ht="15.75" x14ac:dyDescent="0.25">
      <c r="A26" s="34"/>
      <c r="B26" s="53"/>
      <c r="C26" s="54"/>
      <c r="D26" s="54" t="s">
        <v>29</v>
      </c>
      <c r="E26" s="55"/>
      <c r="F26" s="39"/>
      <c r="G26" s="40"/>
      <c r="H26" s="40"/>
      <c r="I26" s="56"/>
      <c r="J26" s="88"/>
      <c r="K26" s="42"/>
      <c r="L26" s="43"/>
      <c r="M26" s="44"/>
    </row>
    <row r="27" spans="1:13" ht="15.75" x14ac:dyDescent="0.25">
      <c r="A27" s="34">
        <v>3</v>
      </c>
      <c r="B27" s="53">
        <v>3</v>
      </c>
      <c r="C27" s="54" t="s">
        <v>30</v>
      </c>
      <c r="D27" s="54"/>
      <c r="E27" s="55"/>
      <c r="F27" s="39"/>
      <c r="G27" s="40"/>
      <c r="H27" s="57"/>
      <c r="I27" s="41"/>
      <c r="J27" s="88"/>
      <c r="K27" s="42"/>
      <c r="L27" s="43">
        <f t="shared" si="3"/>
        <v>0</v>
      </c>
      <c r="M27" s="44"/>
    </row>
    <row r="28" spans="1:13" ht="15.75" x14ac:dyDescent="0.25">
      <c r="A28" s="58">
        <v>3.1</v>
      </c>
      <c r="B28" s="59"/>
      <c r="C28" s="54" t="s">
        <v>32</v>
      </c>
      <c r="D28" s="54"/>
      <c r="E28" s="55">
        <v>0</v>
      </c>
      <c r="F28" s="39">
        <v>0</v>
      </c>
      <c r="G28" s="40">
        <v>0</v>
      </c>
      <c r="H28" s="40">
        <v>0</v>
      </c>
      <c r="I28" s="41">
        <v>0</v>
      </c>
      <c r="J28" s="88">
        <v>0</v>
      </c>
      <c r="K28" s="42"/>
      <c r="L28" s="43">
        <f t="shared" si="3"/>
        <v>0</v>
      </c>
      <c r="M28" s="44"/>
    </row>
    <row r="29" spans="1:13" ht="15.75" x14ac:dyDescent="0.25">
      <c r="A29" s="58">
        <v>3.2</v>
      </c>
      <c r="B29" s="59"/>
      <c r="C29" s="54" t="s">
        <v>31</v>
      </c>
      <c r="D29" s="54"/>
      <c r="E29" s="55"/>
      <c r="F29" s="39"/>
      <c r="G29" s="40"/>
      <c r="H29" s="40">
        <v>7000000</v>
      </c>
      <c r="I29" s="41">
        <v>1</v>
      </c>
      <c r="J29" s="88">
        <v>1</v>
      </c>
      <c r="K29" s="42">
        <f>H29+G29+(E29*F29)</f>
        <v>7000000</v>
      </c>
      <c r="L29" s="43">
        <f t="shared" si="3"/>
        <v>7000000</v>
      </c>
      <c r="M29" s="44"/>
    </row>
    <row r="30" spans="1:13" ht="15.75" x14ac:dyDescent="0.25">
      <c r="A30" s="58"/>
      <c r="B30" s="59"/>
      <c r="C30" s="54" t="s">
        <v>33</v>
      </c>
      <c r="D30" s="54"/>
      <c r="E30" s="55">
        <v>0</v>
      </c>
      <c r="F30" s="39">
        <v>0</v>
      </c>
      <c r="G30" s="40">
        <v>0</v>
      </c>
      <c r="H30" s="40">
        <v>0</v>
      </c>
      <c r="I30" s="41">
        <v>0</v>
      </c>
      <c r="J30" s="88"/>
      <c r="K30" s="42">
        <f t="shared" ref="K30:K33" si="5">H30+G30+(E30*F30)</f>
        <v>0</v>
      </c>
      <c r="L30" s="43">
        <f t="shared" si="3"/>
        <v>0</v>
      </c>
      <c r="M30" s="44"/>
    </row>
    <row r="31" spans="1:13" ht="47.25" x14ac:dyDescent="0.25">
      <c r="A31" s="58"/>
      <c r="B31" s="60">
        <v>4</v>
      </c>
      <c r="C31" s="54" t="s">
        <v>34</v>
      </c>
      <c r="D31" s="54"/>
      <c r="E31" s="55"/>
      <c r="F31" s="39"/>
      <c r="G31" s="40"/>
      <c r="H31" s="40"/>
      <c r="I31" s="41"/>
      <c r="J31" s="88"/>
      <c r="K31" s="42">
        <f t="shared" si="5"/>
        <v>0</v>
      </c>
      <c r="L31" s="43">
        <f t="shared" si="3"/>
        <v>0</v>
      </c>
      <c r="M31" s="44"/>
    </row>
    <row r="32" spans="1:13" ht="47.25" x14ac:dyDescent="0.25">
      <c r="A32" s="58"/>
      <c r="B32" s="59" t="s">
        <v>35</v>
      </c>
      <c r="C32" s="37" t="s">
        <v>36</v>
      </c>
      <c r="D32" s="54"/>
      <c r="E32" s="55"/>
      <c r="F32" s="39"/>
      <c r="G32" s="40">
        <f>1*70000000*1+1*55000000*1+2*40000000*1+2*30000000*1</f>
        <v>265000000</v>
      </c>
      <c r="H32" s="40"/>
      <c r="I32" s="41">
        <v>1</v>
      </c>
      <c r="J32" s="88">
        <v>1</v>
      </c>
      <c r="K32" s="42">
        <f t="shared" si="5"/>
        <v>265000000</v>
      </c>
      <c r="L32" s="43">
        <f t="shared" si="3"/>
        <v>265000000</v>
      </c>
      <c r="M32" s="48" t="s">
        <v>60</v>
      </c>
    </row>
    <row r="33" spans="1:13" ht="47.25" x14ac:dyDescent="0.25">
      <c r="A33" s="58"/>
      <c r="B33" s="59" t="s">
        <v>37</v>
      </c>
      <c r="C33" s="37" t="s">
        <v>38</v>
      </c>
      <c r="D33" s="37"/>
      <c r="E33" s="55"/>
      <c r="F33" s="39"/>
      <c r="G33" s="40">
        <f>3*70000000*6+6*55000000*6+6*40000000*6+4*30000000*6</f>
        <v>5400000000</v>
      </c>
      <c r="H33" s="40"/>
      <c r="I33" s="41">
        <v>1</v>
      </c>
      <c r="J33" s="88">
        <v>1</v>
      </c>
      <c r="K33" s="42">
        <f t="shared" si="5"/>
        <v>5400000000</v>
      </c>
      <c r="L33" s="43">
        <f t="shared" si="3"/>
        <v>5400000000</v>
      </c>
      <c r="M33" s="48" t="s">
        <v>156</v>
      </c>
    </row>
    <row r="34" spans="1:13" ht="15.75" x14ac:dyDescent="0.25">
      <c r="A34" s="58"/>
      <c r="B34" s="60">
        <v>5</v>
      </c>
      <c r="C34" s="54" t="s">
        <v>39</v>
      </c>
      <c r="D34" s="54"/>
      <c r="E34" s="55"/>
      <c r="F34" s="39"/>
      <c r="G34" s="40"/>
      <c r="H34" s="40"/>
      <c r="I34" s="41"/>
      <c r="J34" s="88"/>
      <c r="K34" s="42"/>
      <c r="L34" s="43">
        <f t="shared" si="3"/>
        <v>0</v>
      </c>
      <c r="M34" s="44"/>
    </row>
    <row r="35" spans="1:13" ht="15.75" x14ac:dyDescent="0.25">
      <c r="A35" s="58"/>
      <c r="B35" s="60">
        <v>6</v>
      </c>
      <c r="C35" s="54" t="s">
        <v>40</v>
      </c>
      <c r="D35" s="54" t="s">
        <v>27</v>
      </c>
      <c r="E35" s="55">
        <v>4</v>
      </c>
      <c r="F35" s="39">
        <v>53907</v>
      </c>
      <c r="G35" s="40"/>
      <c r="H35" s="40"/>
      <c r="I35" s="41">
        <v>1</v>
      </c>
      <c r="J35" s="88">
        <v>1</v>
      </c>
      <c r="K35" s="42">
        <f>H35+G35+(E35*F35)</f>
        <v>215628</v>
      </c>
      <c r="L35" s="43">
        <f t="shared" si="3"/>
        <v>215628</v>
      </c>
      <c r="M35" s="44"/>
    </row>
    <row r="36" spans="1:13" ht="15.75" x14ac:dyDescent="0.25">
      <c r="A36" s="58"/>
      <c r="B36" s="59"/>
      <c r="C36" s="54"/>
      <c r="D36" s="54" t="s">
        <v>28</v>
      </c>
      <c r="E36" s="55">
        <v>2</v>
      </c>
      <c r="F36" s="39">
        <f>F35</f>
        <v>53907</v>
      </c>
      <c r="G36" s="3"/>
      <c r="H36" s="40"/>
      <c r="I36" s="41">
        <v>1</v>
      </c>
      <c r="J36" s="88">
        <v>1</v>
      </c>
      <c r="K36" s="42">
        <f t="shared" ref="K36" si="6">H36+G36+(E36*F36)</f>
        <v>107814</v>
      </c>
      <c r="L36" s="43">
        <f t="shared" si="3"/>
        <v>107814</v>
      </c>
      <c r="M36" s="44"/>
    </row>
    <row r="37" spans="1:13" ht="15.75" x14ac:dyDescent="0.25">
      <c r="A37" s="61">
        <v>4</v>
      </c>
      <c r="B37" s="35"/>
      <c r="C37" s="54"/>
      <c r="D37" s="54" t="s">
        <v>29</v>
      </c>
      <c r="E37" s="55"/>
      <c r="F37" s="39"/>
      <c r="G37" s="40"/>
      <c r="H37" s="40"/>
      <c r="I37" s="41"/>
      <c r="J37" s="88"/>
      <c r="K37" s="42"/>
      <c r="L37" s="43"/>
      <c r="M37" s="44"/>
    </row>
    <row r="38" spans="1:13" ht="16.5" thickBot="1" x14ac:dyDescent="0.3">
      <c r="A38" s="62"/>
      <c r="B38" s="63"/>
      <c r="C38" s="165" t="s">
        <v>2</v>
      </c>
      <c r="D38" s="166"/>
      <c r="E38" s="64"/>
      <c r="F38" s="65"/>
      <c r="G38" s="65">
        <f>SUM(G13:G37)</f>
        <v>22135000000</v>
      </c>
      <c r="H38" s="65">
        <f>SUM(H13:H37)</f>
        <v>7000000</v>
      </c>
      <c r="I38" s="66"/>
      <c r="J38" s="93"/>
      <c r="K38" s="67">
        <f>SUM(K13:K37)</f>
        <v>22147717974.990875</v>
      </c>
      <c r="L38" s="68">
        <f>SUM(L13:L37)</f>
        <v>22147717974.990875</v>
      </c>
      <c r="M38" s="69"/>
    </row>
  </sheetData>
  <mergeCells count="9">
    <mergeCell ref="C8:L8"/>
    <mergeCell ref="C9:L9"/>
    <mergeCell ref="C38:D38"/>
    <mergeCell ref="C1:L1"/>
    <mergeCell ref="C2:L2"/>
    <mergeCell ref="C4:D5"/>
    <mergeCell ref="J4:L5"/>
    <mergeCell ref="C6:L6"/>
    <mergeCell ref="C7:L7"/>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9"/>
  <sheetViews>
    <sheetView zoomScale="70" zoomScaleNormal="70" workbookViewId="0">
      <selection activeCell="K16" sqref="K16"/>
    </sheetView>
  </sheetViews>
  <sheetFormatPr defaultColWidth="9" defaultRowHeight="15" x14ac:dyDescent="0.25"/>
  <cols>
    <col min="1" max="1" width="4.7109375" customWidth="1"/>
    <col min="3" max="3" width="36.85546875" customWidth="1"/>
    <col min="4" max="4" width="21.85546875" customWidth="1"/>
    <col min="6" max="6" width="21.140625" customWidth="1"/>
    <col min="7" max="7" width="16" customWidth="1"/>
    <col min="8" max="8" width="15.140625" customWidth="1"/>
    <col min="10" max="10" width="11.140625" style="94" customWidth="1"/>
    <col min="11" max="11" width="20.28515625" customWidth="1"/>
    <col min="12" max="12" width="25.85546875" style="70" customWidth="1"/>
    <col min="13" max="13" width="36.85546875" customWidth="1"/>
    <col min="14" max="14" width="32.28515625" customWidth="1"/>
  </cols>
  <sheetData>
    <row r="1" spans="1:14" ht="16.5" x14ac:dyDescent="0.25">
      <c r="A1" s="4"/>
      <c r="B1" s="4"/>
      <c r="C1" s="159" t="s">
        <v>3</v>
      </c>
      <c r="D1" s="159"/>
      <c r="E1" s="159"/>
      <c r="F1" s="159"/>
      <c r="G1" s="159"/>
      <c r="H1" s="159"/>
      <c r="I1" s="159"/>
      <c r="J1" s="159"/>
      <c r="K1" s="159"/>
      <c r="L1" s="159"/>
      <c r="M1" s="7"/>
      <c r="N1" s="1"/>
    </row>
    <row r="2" spans="1:14" ht="18.75" x14ac:dyDescent="0.3">
      <c r="A2" s="4"/>
      <c r="B2" s="4"/>
      <c r="C2" s="160" t="s">
        <v>41</v>
      </c>
      <c r="D2" s="160"/>
      <c r="E2" s="160"/>
      <c r="F2" s="160"/>
      <c r="G2" s="160"/>
      <c r="H2" s="160"/>
      <c r="I2" s="160"/>
      <c r="J2" s="160"/>
      <c r="K2" s="160"/>
      <c r="L2" s="160"/>
      <c r="M2" s="8"/>
      <c r="N2" s="1"/>
    </row>
    <row r="3" spans="1:14" ht="15.75" x14ac:dyDescent="0.25">
      <c r="A3" s="4"/>
      <c r="B3" s="4"/>
      <c r="C3" s="9"/>
      <c r="D3" s="1"/>
      <c r="E3" s="5"/>
      <c r="F3" s="6"/>
      <c r="G3" s="1"/>
      <c r="H3" s="1"/>
      <c r="I3" s="1"/>
      <c r="J3" s="89"/>
      <c r="K3" s="1"/>
      <c r="L3" s="10"/>
      <c r="M3" s="1"/>
      <c r="N3" s="1"/>
    </row>
    <row r="4" spans="1:14" ht="17.25" x14ac:dyDescent="0.25">
      <c r="A4" s="4"/>
      <c r="B4" s="4"/>
      <c r="C4" s="161" t="s">
        <v>4</v>
      </c>
      <c r="D4" s="161"/>
      <c r="E4" s="5"/>
      <c r="F4" s="6"/>
      <c r="G4" s="1"/>
      <c r="H4" s="1"/>
      <c r="I4" s="1"/>
      <c r="J4" s="162" t="s">
        <v>5</v>
      </c>
      <c r="K4" s="162"/>
      <c r="L4" s="162"/>
      <c r="M4" s="11"/>
      <c r="N4" s="12"/>
    </row>
    <row r="5" spans="1:14" ht="17.25" x14ac:dyDescent="0.25">
      <c r="A5" s="4"/>
      <c r="B5" s="4"/>
      <c r="C5" s="161"/>
      <c r="D5" s="161"/>
      <c r="E5" s="5"/>
      <c r="F5" s="6"/>
      <c r="G5" s="1"/>
      <c r="H5" s="1"/>
      <c r="I5" s="1"/>
      <c r="J5" s="162"/>
      <c r="K5" s="162"/>
      <c r="L5" s="162"/>
      <c r="M5" s="11"/>
      <c r="N5" s="12"/>
    </row>
    <row r="6" spans="1:14" ht="16.5" x14ac:dyDescent="0.25">
      <c r="A6" s="4"/>
      <c r="B6" s="4"/>
      <c r="C6" s="163" t="s">
        <v>6</v>
      </c>
      <c r="D6" s="163"/>
      <c r="E6" s="163"/>
      <c r="F6" s="163"/>
      <c r="G6" s="163"/>
      <c r="H6" s="163"/>
      <c r="I6" s="163"/>
      <c r="J6" s="163"/>
      <c r="K6" s="163"/>
      <c r="L6" s="163"/>
      <c r="M6" s="13"/>
      <c r="N6" s="1"/>
    </row>
    <row r="7" spans="1:14" ht="26.1" customHeight="1" x14ac:dyDescent="0.25">
      <c r="A7" s="14"/>
      <c r="B7" s="14"/>
      <c r="C7" s="164" t="s">
        <v>82</v>
      </c>
      <c r="D7" s="164"/>
      <c r="E7" s="164"/>
      <c r="F7" s="164"/>
      <c r="G7" s="164"/>
      <c r="H7" s="164"/>
      <c r="I7" s="164"/>
      <c r="J7" s="164"/>
      <c r="K7" s="164"/>
      <c r="L7" s="164"/>
      <c r="M7" s="15"/>
      <c r="N7" s="2"/>
    </row>
    <row r="8" spans="1:14" ht="15.75" x14ac:dyDescent="0.25">
      <c r="A8" s="14"/>
      <c r="B8" s="14"/>
      <c r="C8" s="155"/>
      <c r="D8" s="155"/>
      <c r="E8" s="155"/>
      <c r="F8" s="155"/>
      <c r="G8" s="155"/>
      <c r="H8" s="155"/>
      <c r="I8" s="155"/>
      <c r="J8" s="155"/>
      <c r="K8" s="155"/>
      <c r="L8" s="155"/>
      <c r="M8" s="16"/>
      <c r="N8" s="2"/>
    </row>
    <row r="9" spans="1:14" ht="25.5" customHeight="1" x14ac:dyDescent="0.25">
      <c r="A9" s="17" t="s">
        <v>7</v>
      </c>
      <c r="B9" s="17"/>
      <c r="C9" s="156" t="s">
        <v>6</v>
      </c>
      <c r="D9" s="156"/>
      <c r="E9" s="156"/>
      <c r="F9" s="156"/>
      <c r="G9" s="156"/>
      <c r="H9" s="156"/>
      <c r="I9" s="156"/>
      <c r="J9" s="156"/>
      <c r="K9" s="156"/>
      <c r="L9" s="156"/>
      <c r="M9" s="18"/>
      <c r="N9" s="2"/>
    </row>
    <row r="10" spans="1:14" ht="16.5" thickBot="1" x14ac:dyDescent="0.3">
      <c r="A10" s="14"/>
      <c r="B10" s="14"/>
      <c r="C10" s="16"/>
      <c r="D10" s="16"/>
      <c r="E10" s="16"/>
      <c r="F10" s="16"/>
      <c r="G10" s="16"/>
      <c r="H10" s="16"/>
      <c r="I10" s="16"/>
      <c r="J10" s="90"/>
      <c r="K10" s="16"/>
      <c r="L10" s="19"/>
      <c r="M10" s="16"/>
    </row>
    <row r="11" spans="1:14" ht="78.75" x14ac:dyDescent="0.25">
      <c r="A11" s="20" t="s">
        <v>8</v>
      </c>
      <c r="B11" s="21" t="s">
        <v>8</v>
      </c>
      <c r="C11" s="22" t="s">
        <v>9</v>
      </c>
      <c r="D11" s="22" t="s">
        <v>10</v>
      </c>
      <c r="E11" s="23" t="s">
        <v>11</v>
      </c>
      <c r="F11" s="24" t="s">
        <v>12</v>
      </c>
      <c r="G11" s="25" t="s">
        <v>13</v>
      </c>
      <c r="H11" s="23" t="s">
        <v>14</v>
      </c>
      <c r="I11" s="23" t="s">
        <v>15</v>
      </c>
      <c r="J11" s="91" t="s">
        <v>16</v>
      </c>
      <c r="K11" s="26" t="s">
        <v>17</v>
      </c>
      <c r="L11" s="26" t="s">
        <v>18</v>
      </c>
      <c r="M11" s="27" t="s">
        <v>19</v>
      </c>
    </row>
    <row r="12" spans="1:14" ht="24" customHeight="1" x14ac:dyDescent="0.25">
      <c r="A12" s="28">
        <v>1</v>
      </c>
      <c r="B12" s="29">
        <v>1</v>
      </c>
      <c r="C12" s="30" t="s">
        <v>20</v>
      </c>
      <c r="D12" s="31"/>
      <c r="E12" s="32"/>
      <c r="F12" s="32"/>
      <c r="G12" s="32"/>
      <c r="H12" s="32"/>
      <c r="I12" s="32"/>
      <c r="J12" s="92"/>
      <c r="K12" s="32"/>
      <c r="L12" s="32"/>
      <c r="M12" s="33"/>
    </row>
    <row r="13" spans="1:14" ht="47.25" x14ac:dyDescent="0.25">
      <c r="A13" s="34"/>
      <c r="B13" s="35" t="s">
        <v>21</v>
      </c>
      <c r="C13" s="36" t="s">
        <v>76</v>
      </c>
      <c r="D13" s="37"/>
      <c r="E13" s="38">
        <f>8*2</f>
        <v>16</v>
      </c>
      <c r="F13" s="39">
        <v>53907</v>
      </c>
      <c r="G13" s="40"/>
      <c r="H13" s="40"/>
      <c r="I13" s="41">
        <v>1</v>
      </c>
      <c r="J13" s="88">
        <v>1</v>
      </c>
      <c r="K13" s="42">
        <f>E13*F13+G13+H13</f>
        <v>862512</v>
      </c>
      <c r="L13" s="43">
        <f>K13*I13*J13</f>
        <v>862512</v>
      </c>
      <c r="M13" s="44"/>
    </row>
    <row r="14" spans="1:14" ht="47.25" x14ac:dyDescent="0.25">
      <c r="A14" s="34"/>
      <c r="B14" s="45" t="s">
        <v>22</v>
      </c>
      <c r="C14" s="46" t="s">
        <v>44</v>
      </c>
      <c r="D14" s="47"/>
      <c r="E14" s="38">
        <f>16*2</f>
        <v>32</v>
      </c>
      <c r="F14" s="39">
        <v>53907</v>
      </c>
      <c r="G14" s="40"/>
      <c r="H14" s="40"/>
      <c r="I14" s="41">
        <v>1</v>
      </c>
      <c r="J14" s="88">
        <v>1</v>
      </c>
      <c r="K14" s="42">
        <f t="shared" ref="K14:K17" si="0">E14*F14+G14+H14</f>
        <v>1725024</v>
      </c>
      <c r="L14" s="43">
        <f t="shared" ref="L14:L30" si="1">K14*I14*J14</f>
        <v>1725024</v>
      </c>
      <c r="M14" s="48"/>
    </row>
    <row r="15" spans="1:14" ht="141.75" x14ac:dyDescent="0.25">
      <c r="A15" s="34"/>
      <c r="B15" s="45" t="s">
        <v>23</v>
      </c>
      <c r="C15" s="49" t="s">
        <v>101</v>
      </c>
      <c r="D15" s="50"/>
      <c r="E15" s="38"/>
      <c r="F15" s="39"/>
      <c r="G15" s="40">
        <f>5*70000000*8+10*55000000*8+8*40000000*8+5*30000000*8</f>
        <v>10960000000</v>
      </c>
      <c r="H15" s="40"/>
      <c r="I15" s="41">
        <v>1</v>
      </c>
      <c r="J15" s="88">
        <v>1</v>
      </c>
      <c r="K15" s="42">
        <f t="shared" si="0"/>
        <v>10960000000</v>
      </c>
      <c r="L15" s="43">
        <f t="shared" si="1"/>
        <v>10960000000</v>
      </c>
      <c r="M15" s="48" t="s">
        <v>158</v>
      </c>
    </row>
    <row r="16" spans="1:14" ht="126" x14ac:dyDescent="0.25">
      <c r="A16" s="34"/>
      <c r="B16" s="45" t="s">
        <v>24</v>
      </c>
      <c r="C16" s="49" t="s">
        <v>100</v>
      </c>
      <c r="D16" s="50"/>
      <c r="E16" s="38"/>
      <c r="F16" s="39"/>
      <c r="G16" s="40">
        <f>5*70000000*8+10*55000000*8+8*40000000*8+5*30000000*8</f>
        <v>10960000000</v>
      </c>
      <c r="H16" s="40"/>
      <c r="I16" s="41">
        <v>1</v>
      </c>
      <c r="J16" s="88">
        <v>1</v>
      </c>
      <c r="K16" s="42">
        <f t="shared" ref="K16" si="2">E16*F16+G16+H16</f>
        <v>10960000000</v>
      </c>
      <c r="L16" s="43">
        <f t="shared" ref="L16" si="3">K16*I16*J16</f>
        <v>10960000000</v>
      </c>
      <c r="M16" s="48" t="s">
        <v>158</v>
      </c>
    </row>
    <row r="17" spans="1:13" ht="126" x14ac:dyDescent="0.25">
      <c r="A17" s="34"/>
      <c r="B17" s="35" t="s">
        <v>98</v>
      </c>
      <c r="C17" s="51" t="s">
        <v>102</v>
      </c>
      <c r="D17" s="37"/>
      <c r="E17" s="38"/>
      <c r="F17" s="39"/>
      <c r="G17" s="40">
        <f>4*70000000*6+10*55000000*6+6*40000000*6+3*30000000*6</f>
        <v>6960000000</v>
      </c>
      <c r="H17" s="40"/>
      <c r="I17" s="41">
        <v>1</v>
      </c>
      <c r="J17" s="88">
        <v>1</v>
      </c>
      <c r="K17" s="42">
        <f t="shared" si="0"/>
        <v>6960000000</v>
      </c>
      <c r="L17" s="43">
        <f t="shared" si="1"/>
        <v>6960000000</v>
      </c>
      <c r="M17" s="48" t="s">
        <v>159</v>
      </c>
    </row>
    <row r="18" spans="1:13" ht="126" x14ac:dyDescent="0.25">
      <c r="A18" s="34"/>
      <c r="B18" s="35" t="s">
        <v>25</v>
      </c>
      <c r="C18" s="51" t="s">
        <v>103</v>
      </c>
      <c r="D18" s="37"/>
      <c r="E18" s="38"/>
      <c r="F18" s="39"/>
      <c r="G18" s="40">
        <f>4*70000000*6+10*55000000*6+6*40000000*6+3*30000000*6</f>
        <v>6960000000</v>
      </c>
      <c r="H18" s="40"/>
      <c r="I18" s="41">
        <v>1</v>
      </c>
      <c r="J18" s="88">
        <v>1</v>
      </c>
      <c r="K18" s="42">
        <f t="shared" ref="K18" si="4">E18*F18+G18+H18</f>
        <v>6960000000</v>
      </c>
      <c r="L18" s="43">
        <f t="shared" ref="L18" si="5">K18*I18*J18</f>
        <v>6960000000</v>
      </c>
      <c r="M18" s="48" t="s">
        <v>65</v>
      </c>
    </row>
    <row r="19" spans="1:13" ht="15.75" x14ac:dyDescent="0.25">
      <c r="A19" s="34">
        <v>2</v>
      </c>
      <c r="B19" s="53">
        <v>2</v>
      </c>
      <c r="C19" s="54" t="s">
        <v>26</v>
      </c>
      <c r="D19" s="54" t="s">
        <v>27</v>
      </c>
      <c r="E19" s="55">
        <v>4</v>
      </c>
      <c r="F19" s="39">
        <v>53907</v>
      </c>
      <c r="G19" s="40"/>
      <c r="H19" s="40"/>
      <c r="I19" s="56">
        <v>1</v>
      </c>
      <c r="J19" s="88">
        <v>1</v>
      </c>
      <c r="K19" s="42">
        <f t="shared" ref="K19" si="6">H19+G19+(E19*F19)</f>
        <v>215628</v>
      </c>
      <c r="L19" s="43">
        <f t="shared" si="1"/>
        <v>215628</v>
      </c>
      <c r="M19" s="44"/>
    </row>
    <row r="20" spans="1:13" ht="15.75" x14ac:dyDescent="0.25">
      <c r="A20" s="34"/>
      <c r="B20" s="53"/>
      <c r="C20" s="54"/>
      <c r="D20" s="54" t="s">
        <v>28</v>
      </c>
      <c r="E20" s="55">
        <v>2</v>
      </c>
      <c r="F20" s="39">
        <f>F19</f>
        <v>53907</v>
      </c>
      <c r="G20" s="3"/>
      <c r="H20" s="40">
        <v>0</v>
      </c>
      <c r="I20" s="56">
        <v>1</v>
      </c>
      <c r="J20" s="88">
        <v>1</v>
      </c>
      <c r="K20" s="42">
        <f>H20+(E20*F20)</f>
        <v>107814</v>
      </c>
      <c r="L20" s="43">
        <f t="shared" si="1"/>
        <v>107814</v>
      </c>
      <c r="M20" s="44"/>
    </row>
    <row r="21" spans="1:13" ht="15.75" x14ac:dyDescent="0.25">
      <c r="A21" s="34"/>
      <c r="B21" s="53"/>
      <c r="C21" s="54"/>
      <c r="D21" s="54"/>
      <c r="E21" s="55"/>
      <c r="F21" s="39"/>
      <c r="G21" s="40"/>
      <c r="H21" s="40"/>
      <c r="I21" s="56"/>
      <c r="J21" s="88"/>
      <c r="K21" s="42"/>
      <c r="L21" s="43"/>
      <c r="M21" s="44"/>
    </row>
    <row r="22" spans="1:13" ht="15.75" x14ac:dyDescent="0.25">
      <c r="A22" s="34">
        <v>3</v>
      </c>
      <c r="B22" s="53">
        <v>3</v>
      </c>
      <c r="C22" s="54" t="s">
        <v>30</v>
      </c>
      <c r="D22" s="54"/>
      <c r="E22" s="55"/>
      <c r="F22" s="39"/>
      <c r="G22" s="40"/>
      <c r="H22" s="57"/>
      <c r="I22" s="41"/>
      <c r="J22" s="88"/>
      <c r="K22" s="42"/>
      <c r="L22" s="43">
        <f t="shared" si="1"/>
        <v>0</v>
      </c>
      <c r="M22" s="44"/>
    </row>
    <row r="23" spans="1:13" ht="15.75" x14ac:dyDescent="0.25">
      <c r="A23" s="58">
        <v>3.1</v>
      </c>
      <c r="B23" s="59"/>
      <c r="C23" s="54" t="s">
        <v>32</v>
      </c>
      <c r="D23" s="54"/>
      <c r="E23" s="55">
        <v>0</v>
      </c>
      <c r="F23" s="39">
        <v>0</v>
      </c>
      <c r="G23" s="40">
        <v>0</v>
      </c>
      <c r="H23" s="40">
        <v>0</v>
      </c>
      <c r="I23" s="41">
        <v>0</v>
      </c>
      <c r="J23" s="88">
        <v>0</v>
      </c>
      <c r="K23" s="42"/>
      <c r="L23" s="43">
        <f t="shared" si="1"/>
        <v>0</v>
      </c>
      <c r="M23" s="44"/>
    </row>
    <row r="24" spans="1:13" ht="15.75" x14ac:dyDescent="0.25">
      <c r="A24" s="58">
        <v>3.2</v>
      </c>
      <c r="B24" s="59"/>
      <c r="C24" s="54" t="s">
        <v>31</v>
      </c>
      <c r="D24" s="54"/>
      <c r="E24" s="55"/>
      <c r="F24" s="39"/>
      <c r="G24" s="40"/>
      <c r="H24" s="40">
        <f>4000000*2</f>
        <v>8000000</v>
      </c>
      <c r="I24" s="41">
        <v>1</v>
      </c>
      <c r="J24" s="88">
        <v>1</v>
      </c>
      <c r="K24" s="42">
        <f>H24+G24+(E24*F24)</f>
        <v>8000000</v>
      </c>
      <c r="L24" s="43">
        <f t="shared" si="1"/>
        <v>8000000</v>
      </c>
      <c r="M24" s="44" t="s">
        <v>106</v>
      </c>
    </row>
    <row r="25" spans="1:13" ht="15.75" x14ac:dyDescent="0.25">
      <c r="A25" s="58"/>
      <c r="B25" s="59"/>
      <c r="C25" s="54" t="s">
        <v>33</v>
      </c>
      <c r="D25" s="54"/>
      <c r="E25" s="55">
        <v>0</v>
      </c>
      <c r="F25" s="39">
        <v>0</v>
      </c>
      <c r="G25" s="40">
        <v>0</v>
      </c>
      <c r="H25" s="40">
        <v>0</v>
      </c>
      <c r="I25" s="41">
        <v>0</v>
      </c>
      <c r="J25" s="88"/>
      <c r="K25" s="42">
        <f t="shared" ref="K25:K28" si="7">H25+G25+(E25*F25)</f>
        <v>0</v>
      </c>
      <c r="L25" s="43">
        <f t="shared" si="1"/>
        <v>0</v>
      </c>
      <c r="M25" s="44"/>
    </row>
    <row r="26" spans="1:13" ht="47.25" x14ac:dyDescent="0.25">
      <c r="A26" s="58"/>
      <c r="B26" s="60">
        <v>4</v>
      </c>
      <c r="C26" s="54" t="s">
        <v>34</v>
      </c>
      <c r="D26" s="54"/>
      <c r="E26" s="55"/>
      <c r="F26" s="39"/>
      <c r="G26" s="40"/>
      <c r="H26" s="40"/>
      <c r="I26" s="41"/>
      <c r="J26" s="88"/>
      <c r="K26" s="42">
        <f t="shared" si="7"/>
        <v>0</v>
      </c>
      <c r="L26" s="43">
        <f t="shared" si="1"/>
        <v>0</v>
      </c>
      <c r="M26" s="44"/>
    </row>
    <row r="27" spans="1:13" ht="78.75" x14ac:dyDescent="0.25">
      <c r="A27" s="58"/>
      <c r="B27" s="59" t="s">
        <v>35</v>
      </c>
      <c r="C27" s="37" t="s">
        <v>36</v>
      </c>
      <c r="D27" s="54"/>
      <c r="E27" s="55"/>
      <c r="F27" s="39"/>
      <c r="G27" s="40">
        <f>(1*70000000*0.5+1*55000000*0.5+1*40000000*0.5+1*30000000*0.5)*2</f>
        <v>195000000</v>
      </c>
      <c r="H27" s="40"/>
      <c r="I27" s="41">
        <v>1</v>
      </c>
      <c r="J27" s="88">
        <v>1</v>
      </c>
      <c r="K27" s="42">
        <f t="shared" si="7"/>
        <v>195000000</v>
      </c>
      <c r="L27" s="43">
        <f t="shared" si="1"/>
        <v>195000000</v>
      </c>
      <c r="M27" s="48" t="s">
        <v>105</v>
      </c>
    </row>
    <row r="28" spans="1:13" ht="78.75" x14ac:dyDescent="0.25">
      <c r="A28" s="58"/>
      <c r="B28" s="59" t="s">
        <v>37</v>
      </c>
      <c r="C28" s="37" t="s">
        <v>38</v>
      </c>
      <c r="D28" s="37"/>
      <c r="E28" s="55"/>
      <c r="F28" s="39"/>
      <c r="G28" s="40">
        <f>(5*70000000*6+10*55000000*6+8*40000000*6+3*30000000*6)*2</f>
        <v>15720000000</v>
      </c>
      <c r="H28" s="40"/>
      <c r="I28" s="41">
        <v>1</v>
      </c>
      <c r="J28" s="88">
        <v>1</v>
      </c>
      <c r="K28" s="42">
        <f t="shared" si="7"/>
        <v>15720000000</v>
      </c>
      <c r="L28" s="43">
        <f t="shared" si="1"/>
        <v>15720000000</v>
      </c>
      <c r="M28" s="48" t="s">
        <v>160</v>
      </c>
    </row>
    <row r="29" spans="1:13" ht="15.75" x14ac:dyDescent="0.25">
      <c r="A29" s="58"/>
      <c r="B29" s="60">
        <v>5</v>
      </c>
      <c r="C29" s="54" t="s">
        <v>39</v>
      </c>
      <c r="D29" s="54"/>
      <c r="E29" s="55"/>
      <c r="F29" s="39"/>
      <c r="G29" s="40"/>
      <c r="H29" s="40"/>
      <c r="I29" s="41"/>
      <c r="J29" s="88"/>
      <c r="K29" s="42"/>
      <c r="L29" s="43">
        <f t="shared" si="1"/>
        <v>0</v>
      </c>
      <c r="M29" s="44"/>
    </row>
    <row r="30" spans="1:13" ht="15.75" x14ac:dyDescent="0.25">
      <c r="A30" s="58"/>
      <c r="B30" s="60">
        <v>6</v>
      </c>
      <c r="C30" s="54" t="s">
        <v>40</v>
      </c>
      <c r="D30" s="54" t="s">
        <v>27</v>
      </c>
      <c r="E30" s="55">
        <v>4</v>
      </c>
      <c r="F30" s="39">
        <v>53907</v>
      </c>
      <c r="G30" s="40"/>
      <c r="H30" s="40"/>
      <c r="I30" s="41">
        <v>1</v>
      </c>
      <c r="J30" s="88">
        <v>1</v>
      </c>
      <c r="K30" s="42">
        <f>H30+G30+(E30*F30)</f>
        <v>215628</v>
      </c>
      <c r="L30" s="43">
        <f t="shared" si="1"/>
        <v>215628</v>
      </c>
      <c r="M30" s="44"/>
    </row>
    <row r="31" spans="1:13" ht="15.75" x14ac:dyDescent="0.25">
      <c r="A31" s="58"/>
      <c r="B31" s="59"/>
      <c r="C31" s="54"/>
      <c r="D31" s="54" t="s">
        <v>28</v>
      </c>
      <c r="E31" s="55">
        <v>2</v>
      </c>
      <c r="F31" s="39">
        <f>F30</f>
        <v>53907</v>
      </c>
      <c r="G31" s="3"/>
      <c r="H31" s="40"/>
      <c r="I31" s="41">
        <v>1</v>
      </c>
      <c r="J31" s="88">
        <v>1</v>
      </c>
      <c r="K31" s="42">
        <f>H31+(E31*F31)</f>
        <v>107814</v>
      </c>
      <c r="L31" s="43">
        <f>K31*J31*I31</f>
        <v>107814</v>
      </c>
      <c r="M31" s="44"/>
    </row>
    <row r="32" spans="1:13" ht="15.75" x14ac:dyDescent="0.25">
      <c r="A32" s="61">
        <v>4</v>
      </c>
      <c r="B32" s="35"/>
      <c r="C32" s="54"/>
      <c r="D32" s="54"/>
      <c r="E32" s="55"/>
      <c r="F32" s="39"/>
      <c r="G32" s="40"/>
      <c r="H32" s="40"/>
      <c r="I32" s="41"/>
      <c r="J32" s="88"/>
      <c r="K32" s="42"/>
      <c r="L32" s="43"/>
      <c r="M32" s="44"/>
    </row>
    <row r="33" spans="1:13" ht="16.5" thickBot="1" x14ac:dyDescent="0.3">
      <c r="A33" s="62"/>
      <c r="B33" s="63"/>
      <c r="C33" s="165" t="s">
        <v>2</v>
      </c>
      <c r="D33" s="166"/>
      <c r="E33" s="64"/>
      <c r="F33" s="65"/>
      <c r="G33" s="65">
        <f>SUM(G13:G32)</f>
        <v>51755000000</v>
      </c>
      <c r="H33" s="65">
        <f>SUM(H13:H32)</f>
        <v>8000000</v>
      </c>
      <c r="I33" s="66"/>
      <c r="J33" s="93"/>
      <c r="K33" s="67">
        <f>SUM(K13:K32)</f>
        <v>51766234420</v>
      </c>
      <c r="L33" s="68">
        <f>SUM(L13:L32)</f>
        <v>51766234420</v>
      </c>
      <c r="M33" s="69"/>
    </row>
    <row r="38" spans="1:13" x14ac:dyDescent="0.25">
      <c r="K38" s="147"/>
    </row>
    <row r="39" spans="1:13" x14ac:dyDescent="0.25">
      <c r="K39" s="147"/>
    </row>
  </sheetData>
  <mergeCells count="9">
    <mergeCell ref="C8:L8"/>
    <mergeCell ref="C9:L9"/>
    <mergeCell ref="C33:D33"/>
    <mergeCell ref="C1:L1"/>
    <mergeCell ref="C2:L2"/>
    <mergeCell ref="C4:D5"/>
    <mergeCell ref="J4:L5"/>
    <mergeCell ref="C6:L6"/>
    <mergeCell ref="C7:L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40"/>
  <sheetViews>
    <sheetView zoomScale="70" zoomScaleNormal="70" workbookViewId="0">
      <selection activeCell="G18" sqref="G18:G19"/>
    </sheetView>
  </sheetViews>
  <sheetFormatPr defaultColWidth="9" defaultRowHeight="15" x14ac:dyDescent="0.25"/>
  <cols>
    <col min="1" max="1" width="4.7109375" customWidth="1"/>
    <col min="3" max="3" width="36.85546875" customWidth="1"/>
    <col min="4" max="4" width="21.85546875" customWidth="1"/>
    <col min="6" max="6" width="21.140625" customWidth="1"/>
    <col min="7" max="7" width="16" customWidth="1"/>
    <col min="8" max="8" width="15.140625" customWidth="1"/>
    <col min="10" max="10" width="11.140625" style="94" customWidth="1"/>
    <col min="11" max="11" width="20.28515625" customWidth="1"/>
    <col min="12" max="12" width="25.85546875" style="70" customWidth="1"/>
    <col min="13" max="13" width="36.85546875" customWidth="1"/>
    <col min="14" max="14" width="32.28515625" customWidth="1"/>
  </cols>
  <sheetData>
    <row r="1" spans="1:14" ht="16.5" x14ac:dyDescent="0.25">
      <c r="A1" s="4"/>
      <c r="B1" s="4"/>
      <c r="C1" s="159" t="s">
        <v>3</v>
      </c>
      <c r="D1" s="159"/>
      <c r="E1" s="159"/>
      <c r="F1" s="159"/>
      <c r="G1" s="159"/>
      <c r="H1" s="159"/>
      <c r="I1" s="159"/>
      <c r="J1" s="159"/>
      <c r="K1" s="159"/>
      <c r="L1" s="159"/>
      <c r="M1" s="95"/>
      <c r="N1" s="1"/>
    </row>
    <row r="2" spans="1:14" ht="18.75" x14ac:dyDescent="0.3">
      <c r="A2" s="4"/>
      <c r="B2" s="4"/>
      <c r="C2" s="160" t="s">
        <v>41</v>
      </c>
      <c r="D2" s="160"/>
      <c r="E2" s="160"/>
      <c r="F2" s="160"/>
      <c r="G2" s="160"/>
      <c r="H2" s="160"/>
      <c r="I2" s="160"/>
      <c r="J2" s="160"/>
      <c r="K2" s="160"/>
      <c r="L2" s="160"/>
      <c r="M2" s="96"/>
      <c r="N2" s="1"/>
    </row>
    <row r="3" spans="1:14" ht="15.75" x14ac:dyDescent="0.25">
      <c r="A3" s="4"/>
      <c r="B3" s="4"/>
      <c r="C3" s="9"/>
      <c r="D3" s="1"/>
      <c r="E3" s="5"/>
      <c r="F3" s="6"/>
      <c r="G3" s="1"/>
      <c r="H3" s="1"/>
      <c r="I3" s="1"/>
      <c r="J3" s="89"/>
      <c r="K3" s="1"/>
      <c r="L3" s="10"/>
      <c r="M3" s="1"/>
      <c r="N3" s="1"/>
    </row>
    <row r="4" spans="1:14" ht="17.25" x14ac:dyDescent="0.25">
      <c r="A4" s="4"/>
      <c r="B4" s="4"/>
      <c r="C4" s="161" t="s">
        <v>4</v>
      </c>
      <c r="D4" s="161"/>
      <c r="E4" s="5"/>
      <c r="F4" s="6"/>
      <c r="G4" s="1"/>
      <c r="H4" s="1"/>
      <c r="I4" s="1"/>
      <c r="J4" s="162" t="s">
        <v>5</v>
      </c>
      <c r="K4" s="162"/>
      <c r="L4" s="162"/>
      <c r="M4" s="12"/>
      <c r="N4" s="12"/>
    </row>
    <row r="5" spans="1:14" ht="17.25" x14ac:dyDescent="0.25">
      <c r="A5" s="4"/>
      <c r="B5" s="4"/>
      <c r="C5" s="161"/>
      <c r="D5" s="161"/>
      <c r="E5" s="5"/>
      <c r="F5" s="6"/>
      <c r="G5" s="1"/>
      <c r="H5" s="1"/>
      <c r="I5" s="1"/>
      <c r="J5" s="162"/>
      <c r="K5" s="162"/>
      <c r="L5" s="162"/>
      <c r="M5" s="12"/>
      <c r="N5" s="12"/>
    </row>
    <row r="6" spans="1:14" ht="16.5" x14ac:dyDescent="0.25">
      <c r="A6" s="4"/>
      <c r="B6" s="4"/>
      <c r="C6" s="163" t="s">
        <v>6</v>
      </c>
      <c r="D6" s="163"/>
      <c r="E6" s="163"/>
      <c r="F6" s="163"/>
      <c r="G6" s="163"/>
      <c r="H6" s="163"/>
      <c r="I6" s="163"/>
      <c r="J6" s="163"/>
      <c r="K6" s="163"/>
      <c r="L6" s="163"/>
      <c r="M6" s="97"/>
      <c r="N6" s="1"/>
    </row>
    <row r="7" spans="1:14" ht="26.1" customHeight="1" x14ac:dyDescent="0.25">
      <c r="A7" s="14"/>
      <c r="B7" s="14"/>
      <c r="C7" s="164" t="s">
        <v>84</v>
      </c>
      <c r="D7" s="164"/>
      <c r="E7" s="164"/>
      <c r="F7" s="164"/>
      <c r="G7" s="164"/>
      <c r="H7" s="164"/>
      <c r="I7" s="164"/>
      <c r="J7" s="164"/>
      <c r="K7" s="164"/>
      <c r="L7" s="164"/>
      <c r="M7" s="79"/>
      <c r="N7" s="2"/>
    </row>
    <row r="8" spans="1:14" ht="15.75" x14ac:dyDescent="0.25">
      <c r="A8" s="14"/>
      <c r="B8" s="14"/>
      <c r="C8" s="155"/>
      <c r="D8" s="155"/>
      <c r="E8" s="155"/>
      <c r="F8" s="155"/>
      <c r="G8" s="155"/>
      <c r="H8" s="155"/>
      <c r="I8" s="155"/>
      <c r="J8" s="155"/>
      <c r="K8" s="155"/>
      <c r="L8" s="155"/>
      <c r="M8" s="98"/>
      <c r="N8" s="2"/>
    </row>
    <row r="9" spans="1:14" ht="25.5" customHeight="1" x14ac:dyDescent="0.25">
      <c r="A9" s="17" t="s">
        <v>7</v>
      </c>
      <c r="B9" s="17"/>
      <c r="C9" s="156" t="s">
        <v>6</v>
      </c>
      <c r="D9" s="156"/>
      <c r="E9" s="156"/>
      <c r="F9" s="156"/>
      <c r="G9" s="156"/>
      <c r="H9" s="156"/>
      <c r="I9" s="156"/>
      <c r="J9" s="156"/>
      <c r="K9" s="156"/>
      <c r="L9" s="156"/>
      <c r="M9" s="99"/>
      <c r="N9" s="2"/>
    </row>
    <row r="10" spans="1:14" ht="16.5" thickBot="1" x14ac:dyDescent="0.3">
      <c r="A10" s="14"/>
      <c r="B10" s="14"/>
      <c r="C10" s="16"/>
      <c r="D10" s="16"/>
      <c r="E10" s="16"/>
      <c r="F10" s="16"/>
      <c r="G10" s="16"/>
      <c r="H10" s="16"/>
      <c r="I10" s="16"/>
      <c r="J10" s="90"/>
      <c r="K10" s="16"/>
      <c r="L10" s="19"/>
      <c r="M10" s="98"/>
    </row>
    <row r="11" spans="1:14" ht="78.75" x14ac:dyDescent="0.25">
      <c r="A11" s="20" t="s">
        <v>8</v>
      </c>
      <c r="B11" s="21" t="s">
        <v>8</v>
      </c>
      <c r="C11" s="22" t="s">
        <v>9</v>
      </c>
      <c r="D11" s="22" t="s">
        <v>10</v>
      </c>
      <c r="E11" s="23" t="s">
        <v>11</v>
      </c>
      <c r="F11" s="24" t="s">
        <v>12</v>
      </c>
      <c r="G11" s="25" t="s">
        <v>13</v>
      </c>
      <c r="H11" s="23" t="s">
        <v>14</v>
      </c>
      <c r="I11" s="23" t="s">
        <v>15</v>
      </c>
      <c r="J11" s="91" t="s">
        <v>16</v>
      </c>
      <c r="K11" s="26" t="s">
        <v>17</v>
      </c>
      <c r="L11" s="26" t="s">
        <v>18</v>
      </c>
      <c r="M11" s="27" t="s">
        <v>19</v>
      </c>
    </row>
    <row r="12" spans="1:14" ht="24" customHeight="1" x14ac:dyDescent="0.25">
      <c r="A12" s="28">
        <v>1</v>
      </c>
      <c r="B12" s="29">
        <v>1</v>
      </c>
      <c r="C12" s="30" t="s">
        <v>20</v>
      </c>
      <c r="D12" s="31"/>
      <c r="E12" s="32"/>
      <c r="F12" s="32"/>
      <c r="G12" s="32"/>
      <c r="H12" s="32"/>
      <c r="I12" s="32"/>
      <c r="J12" s="92"/>
      <c r="K12" s="32"/>
      <c r="L12" s="32"/>
      <c r="M12" s="100"/>
    </row>
    <row r="13" spans="1:14" ht="47.25" x14ac:dyDescent="0.25">
      <c r="A13" s="34"/>
      <c r="B13" s="35" t="s">
        <v>21</v>
      </c>
      <c r="C13" s="36" t="s">
        <v>91</v>
      </c>
      <c r="D13" s="37"/>
      <c r="E13" s="38">
        <f>8*2</f>
        <v>16</v>
      </c>
      <c r="F13" s="39">
        <v>53907</v>
      </c>
      <c r="G13" s="40"/>
      <c r="H13" s="40"/>
      <c r="I13" s="41">
        <v>1</v>
      </c>
      <c r="J13" s="88">
        <v>1</v>
      </c>
      <c r="K13" s="42">
        <f>E13*F13+G13+H13</f>
        <v>862512</v>
      </c>
      <c r="L13" s="43">
        <f>K13*I13*J13</f>
        <v>862512</v>
      </c>
      <c r="M13" s="101"/>
    </row>
    <row r="14" spans="1:14" ht="63" x14ac:dyDescent="0.25">
      <c r="A14" s="34"/>
      <c r="B14" s="45" t="s">
        <v>22</v>
      </c>
      <c r="C14" s="46" t="s">
        <v>107</v>
      </c>
      <c r="D14" s="50"/>
      <c r="E14" s="38"/>
      <c r="F14" s="39"/>
      <c r="G14" s="40">
        <f>2*70000000*4+5*55000000*4+4*40000000*4+2*30000000*4</f>
        <v>2540000000</v>
      </c>
      <c r="H14" s="40"/>
      <c r="I14" s="41">
        <v>1</v>
      </c>
      <c r="J14" s="88">
        <v>1</v>
      </c>
      <c r="K14" s="42">
        <f t="shared" ref="K14:K18" si="0">E14*F14+G14+H14</f>
        <v>2540000000</v>
      </c>
      <c r="L14" s="43">
        <f t="shared" ref="L14:L32" si="1">K14*I14*J14</f>
        <v>2540000000</v>
      </c>
      <c r="M14" s="48" t="s">
        <v>161</v>
      </c>
    </row>
    <row r="15" spans="1:14" ht="63" x14ac:dyDescent="0.25">
      <c r="A15" s="34"/>
      <c r="B15" s="45" t="s">
        <v>23</v>
      </c>
      <c r="C15" s="46" t="s">
        <v>109</v>
      </c>
      <c r="D15" s="50"/>
      <c r="E15" s="38"/>
      <c r="F15" s="39"/>
      <c r="G15" s="40">
        <f>2*70000000*4+5*55000000*4+4*40000000*4+2*30000000*4</f>
        <v>2540000000</v>
      </c>
      <c r="H15" s="40"/>
      <c r="I15" s="41">
        <v>1</v>
      </c>
      <c r="J15" s="88">
        <v>1</v>
      </c>
      <c r="K15" s="42">
        <f t="shared" ref="K15:K16" si="2">E15*F15+G15+H15</f>
        <v>2540000000</v>
      </c>
      <c r="L15" s="43">
        <f t="shared" si="1"/>
        <v>2540000000</v>
      </c>
      <c r="M15" s="48" t="s">
        <v>161</v>
      </c>
    </row>
    <row r="16" spans="1:14" ht="47.25" x14ac:dyDescent="0.25">
      <c r="A16" s="34"/>
      <c r="B16" s="45" t="s">
        <v>24</v>
      </c>
      <c r="C16" s="49" t="s">
        <v>108</v>
      </c>
      <c r="D16" s="50"/>
      <c r="E16" s="38">
        <v>40</v>
      </c>
      <c r="F16" s="39">
        <v>53907</v>
      </c>
      <c r="G16" s="40"/>
      <c r="H16" s="40"/>
      <c r="I16" s="41">
        <v>1</v>
      </c>
      <c r="J16" s="88">
        <v>1</v>
      </c>
      <c r="K16" s="42">
        <f t="shared" si="2"/>
        <v>2156280</v>
      </c>
      <c r="L16" s="43">
        <f t="shared" si="1"/>
        <v>2156280</v>
      </c>
      <c r="M16" s="102" t="s">
        <v>62</v>
      </c>
    </row>
    <row r="17" spans="1:13" ht="47.25" x14ac:dyDescent="0.25">
      <c r="A17" s="34"/>
      <c r="B17" s="45" t="s">
        <v>24</v>
      </c>
      <c r="C17" s="49" t="s">
        <v>110</v>
      </c>
      <c r="D17" s="50"/>
      <c r="E17" s="38">
        <v>40</v>
      </c>
      <c r="F17" s="39">
        <v>53907</v>
      </c>
      <c r="G17" s="40"/>
      <c r="H17" s="40"/>
      <c r="I17" s="41">
        <v>1</v>
      </c>
      <c r="J17" s="88">
        <v>1</v>
      </c>
      <c r="K17" s="42">
        <f t="shared" si="0"/>
        <v>2156280</v>
      </c>
      <c r="L17" s="43">
        <f t="shared" si="1"/>
        <v>2156280</v>
      </c>
      <c r="M17" s="102" t="s">
        <v>62</v>
      </c>
    </row>
    <row r="18" spans="1:13" ht="47.25" x14ac:dyDescent="0.25">
      <c r="A18" s="34"/>
      <c r="B18" s="35" t="s">
        <v>98</v>
      </c>
      <c r="C18" s="51" t="s">
        <v>131</v>
      </c>
      <c r="D18" s="37"/>
      <c r="E18" s="38"/>
      <c r="F18" s="39"/>
      <c r="G18" s="40">
        <f>3*70000000*6+5*55000000*6+4*40000000*6+2*30000000*6</f>
        <v>4230000000</v>
      </c>
      <c r="H18" s="40"/>
      <c r="I18" s="41">
        <v>1</v>
      </c>
      <c r="J18" s="88">
        <v>1</v>
      </c>
      <c r="K18" s="42">
        <f t="shared" si="0"/>
        <v>4230000000</v>
      </c>
      <c r="L18" s="43">
        <f t="shared" si="1"/>
        <v>4230000000</v>
      </c>
      <c r="M18" s="48" t="s">
        <v>163</v>
      </c>
    </row>
    <row r="19" spans="1:13" ht="47.25" x14ac:dyDescent="0.25">
      <c r="A19" s="34"/>
      <c r="B19" s="35" t="s">
        <v>25</v>
      </c>
      <c r="C19" s="51" t="s">
        <v>132</v>
      </c>
      <c r="D19" s="37"/>
      <c r="E19" s="38"/>
      <c r="F19" s="39"/>
      <c r="G19" s="40">
        <f>3*70000000*6+5*55000000*6+4*40000000*6+2*30000000*6</f>
        <v>4230000000</v>
      </c>
      <c r="H19" s="40"/>
      <c r="I19" s="41">
        <v>1</v>
      </c>
      <c r="J19" s="88">
        <v>1</v>
      </c>
      <c r="K19" s="42">
        <f t="shared" ref="K19" si="3">E19*F19+G19+H19</f>
        <v>4230000000</v>
      </c>
      <c r="L19" s="43">
        <f t="shared" ref="L19" si="4">K19*I19*J19</f>
        <v>4230000000</v>
      </c>
      <c r="M19" s="48" t="s">
        <v>163</v>
      </c>
    </row>
    <row r="20" spans="1:13" ht="15.75" x14ac:dyDescent="0.25">
      <c r="A20" s="34">
        <v>2</v>
      </c>
      <c r="B20" s="53">
        <v>2</v>
      </c>
      <c r="C20" s="54" t="s">
        <v>26</v>
      </c>
      <c r="D20" s="54" t="s">
        <v>27</v>
      </c>
      <c r="E20" s="55">
        <f>2*2</f>
        <v>4</v>
      </c>
      <c r="F20" s="39">
        <v>53907</v>
      </c>
      <c r="G20" s="40"/>
      <c r="H20" s="40"/>
      <c r="I20" s="56">
        <v>1</v>
      </c>
      <c r="J20" s="88">
        <v>1</v>
      </c>
      <c r="K20" s="42">
        <f t="shared" ref="K20:K21" si="5">H20+G20+(E20*F20)</f>
        <v>215628</v>
      </c>
      <c r="L20" s="43">
        <f t="shared" si="1"/>
        <v>215628</v>
      </c>
      <c r="M20" s="101"/>
    </row>
    <row r="21" spans="1:13" ht="15.75" x14ac:dyDescent="0.25">
      <c r="A21" s="34"/>
      <c r="B21" s="53"/>
      <c r="C21" s="54"/>
      <c r="D21" s="54" t="s">
        <v>28</v>
      </c>
      <c r="E21" s="55">
        <v>2</v>
      </c>
      <c r="F21" s="39">
        <f>F20</f>
        <v>53907</v>
      </c>
      <c r="G21" s="3"/>
      <c r="H21" s="40">
        <v>0</v>
      </c>
      <c r="I21" s="56">
        <v>1</v>
      </c>
      <c r="J21" s="88">
        <v>1</v>
      </c>
      <c r="K21" s="42">
        <f t="shared" si="5"/>
        <v>107814</v>
      </c>
      <c r="L21" s="43">
        <f t="shared" si="1"/>
        <v>107814</v>
      </c>
      <c r="M21" s="101"/>
    </row>
    <row r="22" spans="1:13" ht="15.75" x14ac:dyDescent="0.25">
      <c r="A22" s="34"/>
      <c r="B22" s="53"/>
      <c r="C22" s="54"/>
      <c r="D22" s="54"/>
      <c r="E22" s="55"/>
      <c r="F22" s="39"/>
      <c r="G22" s="40"/>
      <c r="H22" s="40"/>
      <c r="I22" s="56"/>
      <c r="J22" s="88"/>
      <c r="K22" s="42"/>
      <c r="L22" s="43"/>
      <c r="M22" s="101"/>
    </row>
    <row r="23" spans="1:13" ht="15.75" x14ac:dyDescent="0.25">
      <c r="A23" s="34">
        <v>3</v>
      </c>
      <c r="B23" s="53">
        <v>3</v>
      </c>
      <c r="C23" s="54" t="s">
        <v>30</v>
      </c>
      <c r="D23" s="54"/>
      <c r="E23" s="55"/>
      <c r="F23" s="39"/>
      <c r="G23" s="40"/>
      <c r="H23" s="57"/>
      <c r="I23" s="41"/>
      <c r="J23" s="88"/>
      <c r="K23" s="42"/>
      <c r="L23" s="43">
        <f t="shared" si="1"/>
        <v>0</v>
      </c>
      <c r="M23" s="101"/>
    </row>
    <row r="24" spans="1:13" ht="15.75" x14ac:dyDescent="0.25">
      <c r="A24" s="58">
        <v>3.1</v>
      </c>
      <c r="B24" s="59"/>
      <c r="C24" s="54" t="s">
        <v>32</v>
      </c>
      <c r="D24" s="54"/>
      <c r="E24" s="55">
        <v>0</v>
      </c>
      <c r="F24" s="39">
        <v>0</v>
      </c>
      <c r="G24" s="40">
        <v>0</v>
      </c>
      <c r="H24" s="40">
        <v>0</v>
      </c>
      <c r="I24" s="41">
        <v>0</v>
      </c>
      <c r="J24" s="88">
        <v>0</v>
      </c>
      <c r="K24" s="42"/>
      <c r="L24" s="43">
        <f t="shared" si="1"/>
        <v>0</v>
      </c>
      <c r="M24" s="101"/>
    </row>
    <row r="25" spans="1:13" ht="15.75" x14ac:dyDescent="0.25">
      <c r="A25" s="58">
        <v>3.2</v>
      </c>
      <c r="B25" s="59"/>
      <c r="C25" s="54" t="s">
        <v>31</v>
      </c>
      <c r="D25" s="54"/>
      <c r="E25" s="55"/>
      <c r="F25" s="39"/>
      <c r="G25" s="40"/>
      <c r="H25" s="40">
        <f>2*4000000</f>
        <v>8000000</v>
      </c>
      <c r="I25" s="41">
        <v>1</v>
      </c>
      <c r="J25" s="88">
        <v>1</v>
      </c>
      <c r="K25" s="42">
        <f>H25+G25+(E25*F25)</f>
        <v>8000000</v>
      </c>
      <c r="L25" s="43">
        <f t="shared" si="1"/>
        <v>8000000</v>
      </c>
      <c r="M25" s="101" t="s">
        <v>106</v>
      </c>
    </row>
    <row r="26" spans="1:13" ht="15.75" x14ac:dyDescent="0.25">
      <c r="A26" s="58"/>
      <c r="B26" s="59"/>
      <c r="C26" s="54" t="s">
        <v>33</v>
      </c>
      <c r="D26" s="54"/>
      <c r="E26" s="55">
        <v>0</v>
      </c>
      <c r="F26" s="39">
        <v>0</v>
      </c>
      <c r="G26" s="40">
        <v>0</v>
      </c>
      <c r="H26" s="40">
        <v>0</v>
      </c>
      <c r="I26" s="41">
        <v>0</v>
      </c>
      <c r="J26" s="88"/>
      <c r="K26" s="42">
        <f t="shared" ref="K26:K29" si="6">H26+G26+(E26*F26)</f>
        <v>0</v>
      </c>
      <c r="L26" s="43">
        <f t="shared" si="1"/>
        <v>0</v>
      </c>
      <c r="M26" s="101"/>
    </row>
    <row r="27" spans="1:13" ht="47.25" x14ac:dyDescent="0.25">
      <c r="A27" s="58"/>
      <c r="B27" s="60">
        <v>4</v>
      </c>
      <c r="C27" s="54" t="s">
        <v>34</v>
      </c>
      <c r="D27" s="54"/>
      <c r="E27" s="55"/>
      <c r="F27" s="39"/>
      <c r="G27" s="40"/>
      <c r="H27" s="40"/>
      <c r="I27" s="41"/>
      <c r="J27" s="88"/>
      <c r="K27" s="42">
        <f t="shared" si="6"/>
        <v>0</v>
      </c>
      <c r="L27" s="43">
        <f t="shared" si="1"/>
        <v>0</v>
      </c>
      <c r="M27" s="101"/>
    </row>
    <row r="28" spans="1:13" ht="63" x14ac:dyDescent="0.25">
      <c r="A28" s="58"/>
      <c r="B28" s="59" t="s">
        <v>35</v>
      </c>
      <c r="C28" s="37" t="s">
        <v>36</v>
      </c>
      <c r="D28" s="54"/>
      <c r="E28" s="55"/>
      <c r="F28" s="39"/>
      <c r="G28" s="40">
        <f>(0*70000000*0.5+1*55000000*0.5+1*40000000*0.5+1*30000000*0.5)*2</f>
        <v>125000000</v>
      </c>
      <c r="H28" s="40"/>
      <c r="I28" s="41">
        <v>1</v>
      </c>
      <c r="J28" s="88">
        <v>1</v>
      </c>
      <c r="K28" s="42">
        <f t="shared" si="6"/>
        <v>125000000</v>
      </c>
      <c r="L28" s="43">
        <f t="shared" si="1"/>
        <v>125000000</v>
      </c>
      <c r="M28" s="48" t="s">
        <v>111</v>
      </c>
    </row>
    <row r="29" spans="1:13" ht="63" x14ac:dyDescent="0.25">
      <c r="A29" s="58"/>
      <c r="B29" s="59" t="s">
        <v>37</v>
      </c>
      <c r="C29" s="37" t="s">
        <v>38</v>
      </c>
      <c r="D29" s="37"/>
      <c r="E29" s="55"/>
      <c r="F29" s="39"/>
      <c r="G29" s="40">
        <f>(3*70000000*3+3*55000000*3+4*40000000*3+3*30000000*3)*2</f>
        <v>3750000000</v>
      </c>
      <c r="H29" s="40"/>
      <c r="I29" s="41">
        <v>1</v>
      </c>
      <c r="J29" s="88">
        <v>1</v>
      </c>
      <c r="K29" s="42">
        <f t="shared" si="6"/>
        <v>3750000000</v>
      </c>
      <c r="L29" s="43">
        <f t="shared" si="1"/>
        <v>3750000000</v>
      </c>
      <c r="M29" s="48" t="s">
        <v>119</v>
      </c>
    </row>
    <row r="30" spans="1:13" ht="15.75" x14ac:dyDescent="0.25">
      <c r="A30" s="58"/>
      <c r="B30" s="60">
        <v>5</v>
      </c>
      <c r="C30" s="54" t="s">
        <v>39</v>
      </c>
      <c r="D30" s="54"/>
      <c r="E30" s="55"/>
      <c r="F30" s="39"/>
      <c r="G30" s="40"/>
      <c r="H30" s="40"/>
      <c r="I30" s="41"/>
      <c r="J30" s="88"/>
      <c r="K30" s="42"/>
      <c r="L30" s="43">
        <f t="shared" si="1"/>
        <v>0</v>
      </c>
      <c r="M30" s="101"/>
    </row>
    <row r="31" spans="1:13" ht="15.75" x14ac:dyDescent="0.25">
      <c r="A31" s="58"/>
      <c r="B31" s="60">
        <v>6</v>
      </c>
      <c r="C31" s="54" t="s">
        <v>40</v>
      </c>
      <c r="D31" s="54" t="s">
        <v>27</v>
      </c>
      <c r="E31" s="55">
        <f>2*2</f>
        <v>4</v>
      </c>
      <c r="F31" s="39">
        <v>53907</v>
      </c>
      <c r="G31" s="40"/>
      <c r="H31" s="40"/>
      <c r="I31" s="41">
        <v>1</v>
      </c>
      <c r="J31" s="88">
        <v>1</v>
      </c>
      <c r="K31" s="42">
        <f>H31+G31+(E31*F31)</f>
        <v>215628</v>
      </c>
      <c r="L31" s="43">
        <f t="shared" si="1"/>
        <v>215628</v>
      </c>
      <c r="M31" s="101"/>
    </row>
    <row r="32" spans="1:13" ht="15.75" x14ac:dyDescent="0.25">
      <c r="A32" s="58"/>
      <c r="B32" s="59"/>
      <c r="C32" s="54"/>
      <c r="D32" s="54" t="s">
        <v>28</v>
      </c>
      <c r="E32" s="55">
        <v>2</v>
      </c>
      <c r="F32" s="39">
        <f>F31</f>
        <v>53907</v>
      </c>
      <c r="G32" s="3"/>
      <c r="H32" s="40"/>
      <c r="I32" s="41">
        <v>1</v>
      </c>
      <c r="J32" s="88">
        <v>1</v>
      </c>
      <c r="K32" s="42">
        <f>H32+(E32*F32)</f>
        <v>107814</v>
      </c>
      <c r="L32" s="43">
        <f t="shared" si="1"/>
        <v>107814</v>
      </c>
      <c r="M32" s="101"/>
    </row>
    <row r="33" spans="1:13" ht="15.75" x14ac:dyDescent="0.25">
      <c r="A33" s="61">
        <v>4</v>
      </c>
      <c r="B33" s="35"/>
      <c r="C33" s="54"/>
      <c r="D33" s="54"/>
      <c r="E33" s="55"/>
      <c r="F33" s="39"/>
      <c r="G33" s="40"/>
      <c r="H33" s="40"/>
      <c r="I33" s="41"/>
      <c r="J33" s="88"/>
      <c r="K33" s="42"/>
      <c r="L33" s="43"/>
      <c r="M33" s="101"/>
    </row>
    <row r="34" spans="1:13" ht="16.5" thickBot="1" x14ac:dyDescent="0.3">
      <c r="A34" s="62"/>
      <c r="B34" s="63"/>
      <c r="C34" s="165" t="s">
        <v>2</v>
      </c>
      <c r="D34" s="166"/>
      <c r="E34" s="64"/>
      <c r="F34" s="65"/>
      <c r="G34" s="65">
        <f>SUM(G13:G33)</f>
        <v>17415000000</v>
      </c>
      <c r="H34" s="65">
        <f>SUM(H13:H33)</f>
        <v>8000000</v>
      </c>
      <c r="I34" s="66"/>
      <c r="J34" s="93"/>
      <c r="K34" s="67">
        <f>SUM(K13:K33)</f>
        <v>17428821956</v>
      </c>
      <c r="L34" s="68">
        <f>SUM(L13:L33)</f>
        <v>17428821956</v>
      </c>
      <c r="M34" s="103"/>
    </row>
    <row r="40" spans="1:13" x14ac:dyDescent="0.25">
      <c r="K40" s="147"/>
    </row>
  </sheetData>
  <mergeCells count="9">
    <mergeCell ref="C8:L8"/>
    <mergeCell ref="C9:L9"/>
    <mergeCell ref="C34:D34"/>
    <mergeCell ref="C1:L1"/>
    <mergeCell ref="C2:L2"/>
    <mergeCell ref="C4:D5"/>
    <mergeCell ref="J4:L5"/>
    <mergeCell ref="C6:L6"/>
    <mergeCell ref="C7:L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41"/>
  <sheetViews>
    <sheetView zoomScale="70" zoomScaleNormal="70" workbookViewId="0">
      <selection activeCell="B5" sqref="B5"/>
    </sheetView>
  </sheetViews>
  <sheetFormatPr defaultColWidth="9" defaultRowHeight="15" x14ac:dyDescent="0.25"/>
  <cols>
    <col min="1" max="1" width="4.7109375" customWidth="1"/>
    <col min="3" max="3" width="36.85546875" customWidth="1"/>
    <col min="4" max="4" width="21.85546875" customWidth="1"/>
    <col min="6" max="6" width="21.140625" customWidth="1"/>
    <col min="7" max="7" width="16" customWidth="1"/>
    <col min="8" max="8" width="15.140625" customWidth="1"/>
    <col min="10" max="10" width="11.140625" style="94" customWidth="1"/>
    <col min="11" max="11" width="20.28515625" customWidth="1"/>
    <col min="12" max="12" width="25.85546875" style="70" customWidth="1"/>
    <col min="13" max="13" width="36.85546875" customWidth="1"/>
    <col min="14" max="14" width="32.28515625" customWidth="1"/>
  </cols>
  <sheetData>
    <row r="1" spans="1:14" ht="16.5" x14ac:dyDescent="0.25">
      <c r="A1" s="4"/>
      <c r="B1" s="4"/>
      <c r="C1" s="159" t="s">
        <v>3</v>
      </c>
      <c r="D1" s="159"/>
      <c r="E1" s="159"/>
      <c r="F1" s="159"/>
      <c r="G1" s="159"/>
      <c r="H1" s="159"/>
      <c r="I1" s="159"/>
      <c r="J1" s="159"/>
      <c r="K1" s="159"/>
      <c r="L1" s="159"/>
      <c r="M1" s="7"/>
      <c r="N1" s="1"/>
    </row>
    <row r="2" spans="1:14" ht="18.75" x14ac:dyDescent="0.3">
      <c r="A2" s="4"/>
      <c r="B2" s="4"/>
      <c r="C2" s="160" t="s">
        <v>41</v>
      </c>
      <c r="D2" s="160"/>
      <c r="E2" s="160"/>
      <c r="F2" s="160"/>
      <c r="G2" s="160"/>
      <c r="H2" s="160"/>
      <c r="I2" s="160"/>
      <c r="J2" s="160"/>
      <c r="K2" s="160"/>
      <c r="L2" s="160"/>
      <c r="M2" s="8"/>
      <c r="N2" s="1"/>
    </row>
    <row r="3" spans="1:14" ht="15.75" x14ac:dyDescent="0.25">
      <c r="A3" s="4"/>
      <c r="B3" s="4"/>
      <c r="C3" s="9"/>
      <c r="D3" s="1"/>
      <c r="E3" s="5"/>
      <c r="F3" s="6"/>
      <c r="G3" s="1"/>
      <c r="H3" s="1"/>
      <c r="I3" s="1"/>
      <c r="J3" s="89"/>
      <c r="K3" s="1"/>
      <c r="L3" s="10"/>
      <c r="M3" s="1"/>
      <c r="N3" s="1"/>
    </row>
    <row r="4" spans="1:14" ht="17.25" x14ac:dyDescent="0.25">
      <c r="A4" s="4"/>
      <c r="B4" s="4"/>
      <c r="C4" s="161" t="s">
        <v>4</v>
      </c>
      <c r="D4" s="161"/>
      <c r="E4" s="5"/>
      <c r="F4" s="6"/>
      <c r="G4" s="1"/>
      <c r="H4" s="1"/>
      <c r="I4" s="1"/>
      <c r="J4" s="162" t="s">
        <v>5</v>
      </c>
      <c r="K4" s="162"/>
      <c r="L4" s="162"/>
      <c r="M4" s="11"/>
      <c r="N4" s="12"/>
    </row>
    <row r="5" spans="1:14" ht="17.25" x14ac:dyDescent="0.25">
      <c r="A5" s="4"/>
      <c r="B5" s="4"/>
      <c r="C5" s="161"/>
      <c r="D5" s="161"/>
      <c r="E5" s="5"/>
      <c r="F5" s="6"/>
      <c r="G5" s="1"/>
      <c r="H5" s="1"/>
      <c r="I5" s="1"/>
      <c r="J5" s="162"/>
      <c r="K5" s="162"/>
      <c r="L5" s="162"/>
      <c r="M5" s="11"/>
      <c r="N5" s="12"/>
    </row>
    <row r="6" spans="1:14" ht="16.5" x14ac:dyDescent="0.25">
      <c r="A6" s="4"/>
      <c r="B6" s="4"/>
      <c r="C6" s="163" t="s">
        <v>6</v>
      </c>
      <c r="D6" s="163"/>
      <c r="E6" s="163"/>
      <c r="F6" s="163"/>
      <c r="G6" s="163"/>
      <c r="H6" s="163"/>
      <c r="I6" s="163"/>
      <c r="J6" s="163"/>
      <c r="K6" s="163"/>
      <c r="L6" s="163"/>
      <c r="M6" s="13"/>
      <c r="N6" s="1"/>
    </row>
    <row r="7" spans="1:14" ht="36.6" customHeight="1" x14ac:dyDescent="0.25">
      <c r="A7" s="14"/>
      <c r="B7" s="14"/>
      <c r="C7" s="164" t="s">
        <v>87</v>
      </c>
      <c r="D7" s="164"/>
      <c r="E7" s="164"/>
      <c r="F7" s="164"/>
      <c r="G7" s="164"/>
      <c r="H7" s="164"/>
      <c r="I7" s="164"/>
      <c r="J7" s="164"/>
      <c r="K7" s="164"/>
      <c r="L7" s="164"/>
      <c r="M7" s="15"/>
      <c r="N7" s="2"/>
    </row>
    <row r="8" spans="1:14" ht="15.75" x14ac:dyDescent="0.25">
      <c r="A8" s="14"/>
      <c r="B8" s="14"/>
      <c r="C8" s="155"/>
      <c r="D8" s="155"/>
      <c r="E8" s="155"/>
      <c r="F8" s="155"/>
      <c r="G8" s="155"/>
      <c r="H8" s="155"/>
      <c r="I8" s="155"/>
      <c r="J8" s="155"/>
      <c r="K8" s="155"/>
      <c r="L8" s="155"/>
      <c r="M8" s="16"/>
      <c r="N8" s="2"/>
    </row>
    <row r="9" spans="1:14" ht="25.5" customHeight="1" x14ac:dyDescent="0.25">
      <c r="A9" s="17" t="s">
        <v>7</v>
      </c>
      <c r="B9" s="17"/>
      <c r="C9" s="156" t="s">
        <v>6</v>
      </c>
      <c r="D9" s="156"/>
      <c r="E9" s="156"/>
      <c r="F9" s="156"/>
      <c r="G9" s="156"/>
      <c r="H9" s="156"/>
      <c r="I9" s="156"/>
      <c r="J9" s="156"/>
      <c r="K9" s="156"/>
      <c r="L9" s="156"/>
      <c r="M9" s="18"/>
      <c r="N9" s="2"/>
    </row>
    <row r="10" spans="1:14" ht="16.5" thickBot="1" x14ac:dyDescent="0.3">
      <c r="A10" s="14"/>
      <c r="B10" s="14"/>
      <c r="C10" s="16"/>
      <c r="D10" s="16"/>
      <c r="E10" s="16"/>
      <c r="F10" s="16"/>
      <c r="G10" s="16"/>
      <c r="H10" s="16"/>
      <c r="I10" s="16"/>
      <c r="J10" s="90"/>
      <c r="K10" s="16"/>
      <c r="L10" s="19"/>
      <c r="M10" s="16"/>
    </row>
    <row r="11" spans="1:14" ht="78.75" x14ac:dyDescent="0.25">
      <c r="A11" s="20" t="s">
        <v>8</v>
      </c>
      <c r="B11" s="21" t="s">
        <v>8</v>
      </c>
      <c r="C11" s="22" t="s">
        <v>9</v>
      </c>
      <c r="D11" s="22" t="s">
        <v>10</v>
      </c>
      <c r="E11" s="23" t="s">
        <v>11</v>
      </c>
      <c r="F11" s="24" t="s">
        <v>12</v>
      </c>
      <c r="G11" s="25" t="s">
        <v>13</v>
      </c>
      <c r="H11" s="23" t="s">
        <v>14</v>
      </c>
      <c r="I11" s="23" t="s">
        <v>15</v>
      </c>
      <c r="J11" s="91" t="s">
        <v>16</v>
      </c>
      <c r="K11" s="26" t="s">
        <v>17</v>
      </c>
      <c r="L11" s="26" t="s">
        <v>18</v>
      </c>
      <c r="M11" s="27" t="s">
        <v>19</v>
      </c>
    </row>
    <row r="12" spans="1:14" ht="24" customHeight="1" x14ac:dyDescent="0.25">
      <c r="A12" s="28">
        <v>1</v>
      </c>
      <c r="B12" s="29">
        <v>1</v>
      </c>
      <c r="C12" s="30" t="s">
        <v>20</v>
      </c>
      <c r="D12" s="31"/>
      <c r="E12" s="32"/>
      <c r="F12" s="32"/>
      <c r="G12" s="32"/>
      <c r="H12" s="32"/>
      <c r="I12" s="32"/>
      <c r="J12" s="92"/>
      <c r="K12" s="32"/>
      <c r="L12" s="32"/>
      <c r="M12" s="33"/>
    </row>
    <row r="13" spans="1:14" ht="94.5" x14ac:dyDescent="0.25">
      <c r="A13" s="34"/>
      <c r="B13" s="35" t="s">
        <v>21</v>
      </c>
      <c r="C13" s="36" t="s">
        <v>92</v>
      </c>
      <c r="D13" s="37"/>
      <c r="E13" s="38">
        <f>8*3</f>
        <v>24</v>
      </c>
      <c r="F13" s="39">
        <v>53907</v>
      </c>
      <c r="G13" s="40"/>
      <c r="H13" s="40"/>
      <c r="I13" s="41">
        <v>1</v>
      </c>
      <c r="J13" s="88">
        <v>1</v>
      </c>
      <c r="K13" s="42">
        <f>E13*F13+G13+H13</f>
        <v>1293768</v>
      </c>
      <c r="L13" s="43">
        <f>K13*I13*J13</f>
        <v>1293768</v>
      </c>
      <c r="M13" s="44"/>
    </row>
    <row r="14" spans="1:14" ht="78.75" x14ac:dyDescent="0.25">
      <c r="A14" s="34"/>
      <c r="B14" s="45" t="s">
        <v>22</v>
      </c>
      <c r="C14" s="46" t="s">
        <v>94</v>
      </c>
      <c r="D14" s="47"/>
      <c r="E14" s="38"/>
      <c r="F14" s="39"/>
      <c r="G14" s="40">
        <f>1*70000000*3+3*55000000*3+2*40000000*3+1*30000000*3</f>
        <v>1035000000</v>
      </c>
      <c r="H14" s="40"/>
      <c r="I14" s="41">
        <v>1</v>
      </c>
      <c r="J14" s="88">
        <v>1</v>
      </c>
      <c r="K14" s="42">
        <f t="shared" ref="K14:K22" si="0">E14*F14+G14+H14</f>
        <v>1035000000</v>
      </c>
      <c r="L14" s="43">
        <f t="shared" ref="L14:L34" si="1">K14*I14*J14</f>
        <v>1035000000</v>
      </c>
      <c r="M14" s="48" t="s">
        <v>64</v>
      </c>
    </row>
    <row r="15" spans="1:14" ht="110.25" x14ac:dyDescent="0.25">
      <c r="A15" s="34"/>
      <c r="B15" s="45" t="s">
        <v>23</v>
      </c>
      <c r="C15" s="49" t="s">
        <v>95</v>
      </c>
      <c r="D15" s="50"/>
      <c r="E15" s="38"/>
      <c r="F15" s="39"/>
      <c r="G15" s="40">
        <f>2*70000000*5+5*55000000*5+4*40000000*5+2*30000000*5</f>
        <v>3175000000</v>
      </c>
      <c r="H15" s="40"/>
      <c r="I15" s="41">
        <v>1</v>
      </c>
      <c r="J15" s="88">
        <v>1</v>
      </c>
      <c r="K15" s="42">
        <f t="shared" si="0"/>
        <v>3175000000</v>
      </c>
      <c r="L15" s="43">
        <f t="shared" si="1"/>
        <v>3175000000</v>
      </c>
      <c r="M15" s="48" t="s">
        <v>63</v>
      </c>
    </row>
    <row r="16" spans="1:14" ht="63" x14ac:dyDescent="0.25">
      <c r="A16" s="34"/>
      <c r="B16" s="45">
        <v>1.4</v>
      </c>
      <c r="C16" s="152" t="s">
        <v>136</v>
      </c>
      <c r="D16" s="50"/>
      <c r="E16" s="38"/>
      <c r="F16" s="39"/>
      <c r="G16" s="40">
        <f>7*70000000*8+14*55000000*8+9*40000000*8+4*30000000*8</f>
        <v>13920000000</v>
      </c>
      <c r="H16" s="40"/>
      <c r="I16" s="41">
        <v>1</v>
      </c>
      <c r="J16" s="88">
        <v>1</v>
      </c>
      <c r="K16" s="42">
        <f t="shared" si="0"/>
        <v>13920000000</v>
      </c>
      <c r="L16" s="43">
        <f t="shared" si="1"/>
        <v>13920000000</v>
      </c>
      <c r="M16" s="48" t="s">
        <v>137</v>
      </c>
    </row>
    <row r="17" spans="1:13" ht="47.25" x14ac:dyDescent="0.25">
      <c r="A17" s="34"/>
      <c r="B17" s="45">
        <v>1.5</v>
      </c>
      <c r="C17" s="152" t="s">
        <v>138</v>
      </c>
      <c r="D17" s="50"/>
      <c r="E17" s="38"/>
      <c r="F17" s="39"/>
      <c r="G17" s="40">
        <f>2*70000000*6+6*55000000*6+4*40000000*6+1*30000000*6</f>
        <v>3960000000</v>
      </c>
      <c r="H17" s="40"/>
      <c r="I17" s="41">
        <v>1</v>
      </c>
      <c r="J17" s="88">
        <v>1</v>
      </c>
      <c r="K17" s="42">
        <f t="shared" si="0"/>
        <v>3960000000</v>
      </c>
      <c r="L17" s="43">
        <f t="shared" si="1"/>
        <v>3960000000</v>
      </c>
      <c r="M17" s="48" t="s">
        <v>139</v>
      </c>
    </row>
    <row r="18" spans="1:13" ht="110.25" x14ac:dyDescent="0.25">
      <c r="A18" s="34"/>
      <c r="B18" s="45" t="s">
        <v>25</v>
      </c>
      <c r="C18" s="46" t="s">
        <v>93</v>
      </c>
      <c r="D18" s="50"/>
      <c r="E18" s="38"/>
      <c r="F18" s="39"/>
      <c r="G18" s="40">
        <f>1*70000000*4+3*55000000*4+3*40000000*4+1*30000000*4</f>
        <v>1540000000</v>
      </c>
      <c r="H18" s="40"/>
      <c r="I18" s="41">
        <v>1</v>
      </c>
      <c r="J18" s="88">
        <v>1</v>
      </c>
      <c r="K18" s="42">
        <f t="shared" si="0"/>
        <v>1540000000</v>
      </c>
      <c r="L18" s="43">
        <f t="shared" si="1"/>
        <v>1540000000</v>
      </c>
      <c r="M18" s="48" t="s">
        <v>69</v>
      </c>
    </row>
    <row r="19" spans="1:13" ht="94.5" x14ac:dyDescent="0.25">
      <c r="A19" s="34"/>
      <c r="B19" s="45">
        <v>1.7</v>
      </c>
      <c r="C19" s="148" t="s">
        <v>133</v>
      </c>
      <c r="D19" s="50"/>
      <c r="E19" s="38"/>
      <c r="F19" s="39"/>
      <c r="G19" s="40">
        <f>2*70000000*4+6*55000000*4+5*40000000*4+3*30000000*4</f>
        <v>3040000000</v>
      </c>
      <c r="H19" s="40"/>
      <c r="I19" s="41">
        <v>1</v>
      </c>
      <c r="J19" s="88">
        <v>1</v>
      </c>
      <c r="K19" s="42">
        <f t="shared" si="0"/>
        <v>3040000000</v>
      </c>
      <c r="L19" s="43">
        <f t="shared" si="1"/>
        <v>3040000000</v>
      </c>
      <c r="M19" s="48" t="s">
        <v>164</v>
      </c>
    </row>
    <row r="20" spans="1:13" ht="78.75" x14ac:dyDescent="0.25">
      <c r="A20" s="34"/>
      <c r="B20" s="45">
        <v>1.8</v>
      </c>
      <c r="C20" s="151" t="s">
        <v>134</v>
      </c>
      <c r="D20" s="50"/>
      <c r="E20" s="38"/>
      <c r="F20" s="39"/>
      <c r="G20" s="40">
        <f>3*70000000*7+8*55000000*7+5*40000000*7+3*30000000*7</f>
        <v>6580000000</v>
      </c>
      <c r="H20" s="40"/>
      <c r="I20" s="41">
        <v>1</v>
      </c>
      <c r="J20" s="88">
        <v>1</v>
      </c>
      <c r="K20" s="42">
        <f t="shared" si="0"/>
        <v>6580000000</v>
      </c>
      <c r="L20" s="43">
        <f t="shared" si="1"/>
        <v>6580000000</v>
      </c>
      <c r="M20" s="48" t="s">
        <v>68</v>
      </c>
    </row>
    <row r="21" spans="1:13" ht="75.95" customHeight="1" x14ac:dyDescent="0.25">
      <c r="A21" s="34"/>
      <c r="B21" s="45">
        <v>1.9</v>
      </c>
      <c r="C21" s="151" t="s">
        <v>142</v>
      </c>
      <c r="D21" s="50"/>
      <c r="E21" s="38"/>
      <c r="F21" s="39"/>
      <c r="G21" s="40">
        <f>6*70000000*8+14*55000000*8+9*40000000*8+5*30000000*8</f>
        <v>13600000000</v>
      </c>
      <c r="H21" s="40"/>
      <c r="I21" s="41">
        <v>1</v>
      </c>
      <c r="J21" s="88">
        <v>1</v>
      </c>
      <c r="K21" s="42">
        <f t="shared" si="0"/>
        <v>13600000000</v>
      </c>
      <c r="L21" s="43">
        <f t="shared" si="1"/>
        <v>13600000000</v>
      </c>
      <c r="M21" s="48" t="s">
        <v>135</v>
      </c>
    </row>
    <row r="22" spans="1:13" ht="98.1" customHeight="1" x14ac:dyDescent="0.25">
      <c r="A22" s="34"/>
      <c r="B22" s="45" t="s">
        <v>129</v>
      </c>
      <c r="C22" s="46" t="s">
        <v>96</v>
      </c>
      <c r="D22" s="50"/>
      <c r="E22" s="38"/>
      <c r="F22" s="39"/>
      <c r="G22" s="40">
        <f>2*70000000*5+5*55000000*5+4*40000000*5+2*30000000*5</f>
        <v>3175000000</v>
      </c>
      <c r="H22" s="40"/>
      <c r="I22" s="41">
        <v>1</v>
      </c>
      <c r="J22" s="88">
        <v>1</v>
      </c>
      <c r="K22" s="42">
        <f t="shared" si="0"/>
        <v>3175000000</v>
      </c>
      <c r="L22" s="43">
        <f t="shared" si="1"/>
        <v>3175000000</v>
      </c>
      <c r="M22" s="48" t="s">
        <v>63</v>
      </c>
    </row>
    <row r="23" spans="1:13" ht="15.75" x14ac:dyDescent="0.25">
      <c r="A23" s="34">
        <v>2</v>
      </c>
      <c r="B23" s="53">
        <v>2</v>
      </c>
      <c r="C23" s="54" t="s">
        <v>26</v>
      </c>
      <c r="D23" s="54" t="s">
        <v>27</v>
      </c>
      <c r="E23" s="55">
        <v>6</v>
      </c>
      <c r="F23" s="39">
        <v>53907</v>
      </c>
      <c r="G23" s="40"/>
      <c r="H23" s="40"/>
      <c r="I23" s="56">
        <v>1</v>
      </c>
      <c r="J23" s="88">
        <v>1</v>
      </c>
      <c r="K23" s="42">
        <f t="shared" ref="K23:K24" si="2">H23+G23+(E23*F23)</f>
        <v>323442</v>
      </c>
      <c r="L23" s="43">
        <f t="shared" si="1"/>
        <v>323442</v>
      </c>
      <c r="M23" s="44"/>
    </row>
    <row r="24" spans="1:13" ht="15.75" x14ac:dyDescent="0.25">
      <c r="A24" s="34"/>
      <c r="B24" s="53"/>
      <c r="C24" s="54"/>
      <c r="D24" s="54" t="s">
        <v>28</v>
      </c>
      <c r="E24" s="55">
        <v>3</v>
      </c>
      <c r="F24" s="39">
        <f>F23</f>
        <v>53907</v>
      </c>
      <c r="G24" s="3"/>
      <c r="H24" s="40">
        <v>0</v>
      </c>
      <c r="I24" s="56">
        <v>1</v>
      </c>
      <c r="J24" s="88">
        <v>1</v>
      </c>
      <c r="K24" s="42">
        <f t="shared" si="2"/>
        <v>161721</v>
      </c>
      <c r="L24" s="43">
        <f t="shared" si="1"/>
        <v>161721</v>
      </c>
      <c r="M24" s="44"/>
    </row>
    <row r="25" spans="1:13" ht="15.75" x14ac:dyDescent="0.25">
      <c r="A25" s="34"/>
      <c r="B25" s="53"/>
      <c r="C25" s="54"/>
      <c r="D25" s="54"/>
      <c r="E25" s="55"/>
      <c r="F25" s="39"/>
      <c r="G25" s="40"/>
      <c r="H25" s="40"/>
      <c r="I25" s="56"/>
      <c r="J25" s="88"/>
      <c r="K25" s="42"/>
      <c r="L25" s="43"/>
      <c r="M25" s="44"/>
    </row>
    <row r="26" spans="1:13" ht="15.75" x14ac:dyDescent="0.25">
      <c r="A26" s="34">
        <v>3</v>
      </c>
      <c r="B26" s="53">
        <v>3</v>
      </c>
      <c r="C26" s="54" t="s">
        <v>30</v>
      </c>
      <c r="D26" s="54"/>
      <c r="E26" s="55"/>
      <c r="F26" s="39"/>
      <c r="G26" s="40"/>
      <c r="H26" s="57"/>
      <c r="I26" s="41"/>
      <c r="J26" s="88"/>
      <c r="K26" s="42"/>
      <c r="L26" s="43">
        <f t="shared" si="1"/>
        <v>0</v>
      </c>
      <c r="M26" s="44"/>
    </row>
    <row r="27" spans="1:13" ht="15.75" x14ac:dyDescent="0.25">
      <c r="A27" s="58">
        <v>3.1</v>
      </c>
      <c r="B27" s="59"/>
      <c r="C27" s="54" t="s">
        <v>32</v>
      </c>
      <c r="D27" s="54"/>
      <c r="E27" s="55">
        <v>0</v>
      </c>
      <c r="F27" s="39">
        <v>0</v>
      </c>
      <c r="G27" s="40">
        <v>0</v>
      </c>
      <c r="H27" s="40">
        <v>0</v>
      </c>
      <c r="I27" s="41">
        <v>0</v>
      </c>
      <c r="J27" s="88">
        <v>0</v>
      </c>
      <c r="K27" s="42"/>
      <c r="L27" s="43">
        <f t="shared" si="1"/>
        <v>0</v>
      </c>
      <c r="M27" s="44"/>
    </row>
    <row r="28" spans="1:13" ht="15.75" x14ac:dyDescent="0.25">
      <c r="A28" s="58">
        <v>3.2</v>
      </c>
      <c r="B28" s="59"/>
      <c r="C28" s="54" t="s">
        <v>31</v>
      </c>
      <c r="D28" s="54"/>
      <c r="E28" s="55"/>
      <c r="F28" s="39"/>
      <c r="G28" s="40"/>
      <c r="H28" s="40">
        <f>3*7000000</f>
        <v>21000000</v>
      </c>
      <c r="I28" s="41">
        <v>1</v>
      </c>
      <c r="J28" s="88">
        <v>1</v>
      </c>
      <c r="K28" s="42">
        <f>H28+G28+(E28*F28)</f>
        <v>21000000</v>
      </c>
      <c r="L28" s="43">
        <f t="shared" si="1"/>
        <v>21000000</v>
      </c>
      <c r="M28" s="44" t="s">
        <v>113</v>
      </c>
    </row>
    <row r="29" spans="1:13" ht="15.75" x14ac:dyDescent="0.25">
      <c r="A29" s="58"/>
      <c r="B29" s="59"/>
      <c r="C29" s="54" t="s">
        <v>33</v>
      </c>
      <c r="D29" s="54"/>
      <c r="E29" s="55">
        <v>0</v>
      </c>
      <c r="F29" s="39">
        <v>0</v>
      </c>
      <c r="G29" s="40">
        <v>0</v>
      </c>
      <c r="H29" s="40">
        <v>0</v>
      </c>
      <c r="I29" s="41">
        <v>0</v>
      </c>
      <c r="J29" s="88"/>
      <c r="K29" s="42">
        <f t="shared" ref="K29:K32" si="3">H29+G29+(E29*F29)</f>
        <v>0</v>
      </c>
      <c r="L29" s="43">
        <f t="shared" si="1"/>
        <v>0</v>
      </c>
      <c r="M29" s="44"/>
    </row>
    <row r="30" spans="1:13" ht="47.25" x14ac:dyDescent="0.25">
      <c r="A30" s="58"/>
      <c r="B30" s="60">
        <v>4</v>
      </c>
      <c r="C30" s="54" t="s">
        <v>34</v>
      </c>
      <c r="D30" s="54"/>
      <c r="E30" s="55"/>
      <c r="F30" s="39"/>
      <c r="G30" s="40"/>
      <c r="H30" s="40"/>
      <c r="I30" s="41"/>
      <c r="J30" s="88"/>
      <c r="K30" s="42">
        <f t="shared" si="3"/>
        <v>0</v>
      </c>
      <c r="L30" s="43">
        <f t="shared" si="1"/>
        <v>0</v>
      </c>
      <c r="M30" s="44"/>
    </row>
    <row r="31" spans="1:13" ht="63" x14ac:dyDescent="0.25">
      <c r="A31" s="58"/>
      <c r="B31" s="59" t="s">
        <v>35</v>
      </c>
      <c r="C31" s="37" t="s">
        <v>36</v>
      </c>
      <c r="D31" s="54"/>
      <c r="E31" s="55"/>
      <c r="F31" s="39"/>
      <c r="G31" s="40">
        <f>(1*70000000*0.5+1*55000000*0.5+1*40000000*0.5+1*30000000*0.5)*3</f>
        <v>292500000</v>
      </c>
      <c r="H31" s="40"/>
      <c r="I31" s="41">
        <v>1</v>
      </c>
      <c r="J31" s="88">
        <v>1</v>
      </c>
      <c r="K31" s="42">
        <f t="shared" si="3"/>
        <v>292500000</v>
      </c>
      <c r="L31" s="43">
        <f t="shared" si="1"/>
        <v>292500000</v>
      </c>
      <c r="M31" s="48" t="s">
        <v>112</v>
      </c>
    </row>
    <row r="32" spans="1:13" ht="63" x14ac:dyDescent="0.25">
      <c r="A32" s="58"/>
      <c r="B32" s="59" t="s">
        <v>37</v>
      </c>
      <c r="C32" s="37" t="s">
        <v>38</v>
      </c>
      <c r="D32" s="37"/>
      <c r="E32" s="55"/>
      <c r="F32" s="39"/>
      <c r="G32" s="40">
        <f>(4*70000000*4+12*55000000*4+6*40000000*4+4*30000000*4)*3</f>
        <v>15600000000</v>
      </c>
      <c r="H32" s="40"/>
      <c r="I32" s="41">
        <v>1</v>
      </c>
      <c r="J32" s="88">
        <v>1</v>
      </c>
      <c r="K32" s="42">
        <f t="shared" si="3"/>
        <v>15600000000</v>
      </c>
      <c r="L32" s="43">
        <f t="shared" si="1"/>
        <v>15600000000</v>
      </c>
      <c r="M32" s="48" t="s">
        <v>140</v>
      </c>
    </row>
    <row r="33" spans="1:13" ht="15.75" x14ac:dyDescent="0.25">
      <c r="A33" s="58"/>
      <c r="B33" s="60">
        <v>5</v>
      </c>
      <c r="C33" s="54" t="s">
        <v>39</v>
      </c>
      <c r="D33" s="54"/>
      <c r="E33" s="55"/>
      <c r="F33" s="39"/>
      <c r="G33" s="40"/>
      <c r="H33" s="40"/>
      <c r="I33" s="41"/>
      <c r="J33" s="88"/>
      <c r="K33" s="42"/>
      <c r="L33" s="43">
        <f t="shared" si="1"/>
        <v>0</v>
      </c>
      <c r="M33" s="44"/>
    </row>
    <row r="34" spans="1:13" ht="15.75" x14ac:dyDescent="0.25">
      <c r="A34" s="58"/>
      <c r="B34" s="60">
        <v>6</v>
      </c>
      <c r="C34" s="54" t="s">
        <v>40</v>
      </c>
      <c r="D34" s="54" t="s">
        <v>27</v>
      </c>
      <c r="E34" s="55">
        <v>6</v>
      </c>
      <c r="F34" s="39">
        <v>53907</v>
      </c>
      <c r="G34" s="40"/>
      <c r="H34" s="40"/>
      <c r="I34" s="41">
        <v>1</v>
      </c>
      <c r="J34" s="88">
        <v>1</v>
      </c>
      <c r="K34" s="42">
        <f>H34+G34+(E34*F34)</f>
        <v>323442</v>
      </c>
      <c r="L34" s="43">
        <f t="shared" si="1"/>
        <v>323442</v>
      </c>
      <c r="M34" s="44"/>
    </row>
    <row r="35" spans="1:13" ht="15.75" x14ac:dyDescent="0.25">
      <c r="A35" s="58"/>
      <c r="B35" s="59"/>
      <c r="C35" s="54"/>
      <c r="D35" s="54" t="s">
        <v>28</v>
      </c>
      <c r="E35" s="55">
        <v>3</v>
      </c>
      <c r="F35" s="39">
        <f>F34</f>
        <v>53907</v>
      </c>
      <c r="G35" s="3"/>
      <c r="H35" s="40"/>
      <c r="I35" s="41">
        <v>1</v>
      </c>
      <c r="J35" s="88">
        <v>1</v>
      </c>
      <c r="K35" s="42">
        <f>H35+(E35*F35)</f>
        <v>161721</v>
      </c>
      <c r="L35" s="43">
        <f>K35*J35*I35</f>
        <v>161721</v>
      </c>
      <c r="M35" s="44"/>
    </row>
    <row r="36" spans="1:13" ht="15.75" x14ac:dyDescent="0.25">
      <c r="A36" s="61">
        <v>4</v>
      </c>
      <c r="B36" s="35"/>
      <c r="C36" s="54"/>
      <c r="D36" s="54"/>
      <c r="E36" s="55"/>
      <c r="F36" s="39"/>
      <c r="G36" s="40"/>
      <c r="H36" s="40"/>
      <c r="I36" s="41"/>
      <c r="J36" s="88"/>
      <c r="K36" s="42"/>
      <c r="L36" s="43"/>
      <c r="M36" s="44"/>
    </row>
    <row r="37" spans="1:13" ht="16.5" thickBot="1" x14ac:dyDescent="0.3">
      <c r="A37" s="62"/>
      <c r="B37" s="63"/>
      <c r="C37" s="165" t="s">
        <v>2</v>
      </c>
      <c r="D37" s="166"/>
      <c r="E37" s="64"/>
      <c r="F37" s="65"/>
      <c r="G37" s="65">
        <f>SUM(G13:G36)</f>
        <v>65917500000</v>
      </c>
      <c r="H37" s="65">
        <f>SUM(H13:H36)</f>
        <v>21000000</v>
      </c>
      <c r="I37" s="66"/>
      <c r="J37" s="93"/>
      <c r="K37" s="67">
        <f>SUM(K13:K36)</f>
        <v>65940764094</v>
      </c>
      <c r="L37" s="68">
        <f>SUM(L13:L36)</f>
        <v>65940764094</v>
      </c>
      <c r="M37" s="69"/>
    </row>
    <row r="41" spans="1:13" x14ac:dyDescent="0.25">
      <c r="K41" s="147"/>
    </row>
  </sheetData>
  <mergeCells count="9">
    <mergeCell ref="C8:L8"/>
    <mergeCell ref="C9:L9"/>
    <mergeCell ref="C37:D37"/>
    <mergeCell ref="C1:L1"/>
    <mergeCell ref="C2:L2"/>
    <mergeCell ref="C4:D5"/>
    <mergeCell ref="J4:L5"/>
    <mergeCell ref="C6:L6"/>
    <mergeCell ref="C7:L7"/>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37"/>
  <sheetViews>
    <sheetView tabSelected="1" topLeftCell="A13" zoomScale="70" zoomScaleNormal="70" workbookViewId="0">
      <selection activeCell="G27" sqref="G27"/>
    </sheetView>
  </sheetViews>
  <sheetFormatPr defaultColWidth="9" defaultRowHeight="15" x14ac:dyDescent="0.25"/>
  <cols>
    <col min="1" max="1" width="4.7109375" customWidth="1"/>
    <col min="3" max="3" width="36.85546875" customWidth="1"/>
    <col min="4" max="4" width="21.85546875" customWidth="1"/>
    <col min="6" max="6" width="21.140625" customWidth="1"/>
    <col min="7" max="7" width="20.42578125" customWidth="1"/>
    <col min="8" max="8" width="15.140625" customWidth="1"/>
    <col min="10" max="10" width="11.140625" style="94" customWidth="1"/>
    <col min="11" max="11" width="20.28515625" customWidth="1"/>
    <col min="12" max="12" width="25.85546875" style="70" customWidth="1"/>
    <col min="13" max="13" width="36.85546875" customWidth="1"/>
    <col min="14" max="14" width="32.28515625" customWidth="1"/>
  </cols>
  <sheetData>
    <row r="1" spans="1:14" ht="16.5" x14ac:dyDescent="0.25">
      <c r="A1" s="4"/>
      <c r="B1" s="4"/>
      <c r="C1" s="159" t="s">
        <v>3</v>
      </c>
      <c r="D1" s="159"/>
      <c r="E1" s="159"/>
      <c r="F1" s="159"/>
      <c r="G1" s="159"/>
      <c r="H1" s="159"/>
      <c r="I1" s="159"/>
      <c r="J1" s="159"/>
      <c r="K1" s="159"/>
      <c r="L1" s="159"/>
      <c r="M1" s="7"/>
      <c r="N1" s="1"/>
    </row>
    <row r="2" spans="1:14" ht="18.75" x14ac:dyDescent="0.3">
      <c r="A2" s="4"/>
      <c r="B2" s="4"/>
      <c r="C2" s="160" t="s">
        <v>41</v>
      </c>
      <c r="D2" s="160"/>
      <c r="E2" s="160"/>
      <c r="F2" s="160"/>
      <c r="G2" s="160"/>
      <c r="H2" s="160"/>
      <c r="I2" s="160"/>
      <c r="J2" s="160"/>
      <c r="K2" s="160"/>
      <c r="L2" s="160"/>
      <c r="M2" s="8"/>
      <c r="N2" s="1"/>
    </row>
    <row r="3" spans="1:14" ht="15.75" x14ac:dyDescent="0.25">
      <c r="A3" s="4"/>
      <c r="B3" s="4"/>
      <c r="C3" s="9"/>
      <c r="D3" s="1"/>
      <c r="E3" s="5"/>
      <c r="F3" s="6"/>
      <c r="G3" s="1"/>
      <c r="H3" s="1"/>
      <c r="I3" s="1"/>
      <c r="J3" s="89"/>
      <c r="K3" s="1"/>
      <c r="L3" s="10"/>
      <c r="M3" s="1"/>
      <c r="N3" s="1"/>
    </row>
    <row r="4" spans="1:14" ht="17.25" x14ac:dyDescent="0.25">
      <c r="A4" s="4"/>
      <c r="B4" s="4"/>
      <c r="C4" s="161" t="s">
        <v>4</v>
      </c>
      <c r="D4" s="161"/>
      <c r="E4" s="5"/>
      <c r="F4" s="6"/>
      <c r="G4" s="1"/>
      <c r="H4" s="1"/>
      <c r="I4" s="1"/>
      <c r="J4" s="162" t="s">
        <v>5</v>
      </c>
      <c r="K4" s="162"/>
      <c r="L4" s="162"/>
      <c r="M4" s="11"/>
      <c r="N4" s="12"/>
    </row>
    <row r="5" spans="1:14" ht="17.25" x14ac:dyDescent="0.25">
      <c r="A5" s="4"/>
      <c r="B5" s="4"/>
      <c r="C5" s="161"/>
      <c r="D5" s="161"/>
      <c r="E5" s="5"/>
      <c r="F5" s="6"/>
      <c r="G5" s="1"/>
      <c r="H5" s="1"/>
      <c r="I5" s="1"/>
      <c r="J5" s="162"/>
      <c r="K5" s="162"/>
      <c r="L5" s="162"/>
      <c r="M5" s="11"/>
      <c r="N5" s="12"/>
    </row>
    <row r="6" spans="1:14" ht="16.5" x14ac:dyDescent="0.25">
      <c r="A6" s="4"/>
      <c r="B6" s="4"/>
      <c r="C6" s="163" t="s">
        <v>6</v>
      </c>
      <c r="D6" s="163"/>
      <c r="E6" s="163"/>
      <c r="F6" s="163"/>
      <c r="G6" s="163"/>
      <c r="H6" s="163"/>
      <c r="I6" s="163"/>
      <c r="J6" s="163"/>
      <c r="K6" s="163"/>
      <c r="L6" s="163"/>
      <c r="M6" s="13"/>
      <c r="N6" s="1"/>
    </row>
    <row r="7" spans="1:14" ht="26.1" customHeight="1" x14ac:dyDescent="0.25">
      <c r="A7" s="14"/>
      <c r="B7" s="14"/>
      <c r="C7" s="164" t="s">
        <v>77</v>
      </c>
      <c r="D7" s="164"/>
      <c r="E7" s="164"/>
      <c r="F7" s="164"/>
      <c r="G7" s="164"/>
      <c r="H7" s="164"/>
      <c r="I7" s="164"/>
      <c r="J7" s="164"/>
      <c r="K7" s="164"/>
      <c r="L7" s="164"/>
      <c r="M7" s="15"/>
      <c r="N7" s="2"/>
    </row>
    <row r="8" spans="1:14" ht="15.75" x14ac:dyDescent="0.25">
      <c r="A8" s="14"/>
      <c r="B8" s="14"/>
      <c r="C8" s="155"/>
      <c r="D8" s="155"/>
      <c r="E8" s="155"/>
      <c r="F8" s="155"/>
      <c r="G8" s="155"/>
      <c r="H8" s="155"/>
      <c r="I8" s="155"/>
      <c r="J8" s="155"/>
      <c r="K8" s="155"/>
      <c r="L8" s="155"/>
      <c r="M8" s="16"/>
      <c r="N8" s="2"/>
    </row>
    <row r="9" spans="1:14" ht="25.5" customHeight="1" x14ac:dyDescent="0.25">
      <c r="A9" s="17" t="s">
        <v>7</v>
      </c>
      <c r="B9" s="17"/>
      <c r="C9" s="156" t="s">
        <v>6</v>
      </c>
      <c r="D9" s="156"/>
      <c r="E9" s="156"/>
      <c r="F9" s="156"/>
      <c r="G9" s="156"/>
      <c r="H9" s="156"/>
      <c r="I9" s="156"/>
      <c r="J9" s="156"/>
      <c r="K9" s="156"/>
      <c r="L9" s="156"/>
      <c r="M9" s="18"/>
      <c r="N9" s="2"/>
    </row>
    <row r="10" spans="1:14" ht="16.5" thickBot="1" x14ac:dyDescent="0.3">
      <c r="A10" s="14"/>
      <c r="B10" s="14"/>
      <c r="C10" s="16"/>
      <c r="D10" s="16"/>
      <c r="E10" s="16"/>
      <c r="F10" s="16"/>
      <c r="G10" s="16"/>
      <c r="H10" s="16"/>
      <c r="I10" s="16"/>
      <c r="J10" s="90"/>
      <c r="K10" s="16"/>
      <c r="L10" s="19"/>
      <c r="M10" s="16"/>
    </row>
    <row r="11" spans="1:14" ht="78.75" x14ac:dyDescent="0.25">
      <c r="A11" s="20" t="s">
        <v>8</v>
      </c>
      <c r="B11" s="21" t="s">
        <v>8</v>
      </c>
      <c r="C11" s="22" t="s">
        <v>9</v>
      </c>
      <c r="D11" s="22" t="s">
        <v>10</v>
      </c>
      <c r="E11" s="23" t="s">
        <v>11</v>
      </c>
      <c r="F11" s="24" t="s">
        <v>12</v>
      </c>
      <c r="G11" s="25" t="s">
        <v>13</v>
      </c>
      <c r="H11" s="23" t="s">
        <v>14</v>
      </c>
      <c r="I11" s="23" t="s">
        <v>15</v>
      </c>
      <c r="J11" s="91" t="s">
        <v>16</v>
      </c>
      <c r="K11" s="26" t="s">
        <v>17</v>
      </c>
      <c r="L11" s="26" t="s">
        <v>18</v>
      </c>
      <c r="M11" s="27" t="s">
        <v>19</v>
      </c>
    </row>
    <row r="12" spans="1:14" ht="24" customHeight="1" x14ac:dyDescent="0.25">
      <c r="A12" s="28">
        <v>1</v>
      </c>
      <c r="B12" s="29">
        <v>1</v>
      </c>
      <c r="C12" s="30" t="s">
        <v>20</v>
      </c>
      <c r="D12" s="31"/>
      <c r="E12" s="32"/>
      <c r="F12" s="32"/>
      <c r="G12" s="32"/>
      <c r="H12" s="32"/>
      <c r="I12" s="32"/>
      <c r="J12" s="92"/>
      <c r="K12" s="32"/>
      <c r="L12" s="32"/>
      <c r="M12" s="33"/>
    </row>
    <row r="13" spans="1:14" ht="63" x14ac:dyDescent="0.25">
      <c r="A13" s="34"/>
      <c r="B13" s="35" t="s">
        <v>21</v>
      </c>
      <c r="C13" s="36" t="s">
        <v>97</v>
      </c>
      <c r="D13" s="37"/>
      <c r="E13" s="38">
        <f>8*2</f>
        <v>16</v>
      </c>
      <c r="F13" s="39">
        <v>53907</v>
      </c>
      <c r="G13" s="40"/>
      <c r="H13" s="40"/>
      <c r="I13" s="41">
        <v>1</v>
      </c>
      <c r="J13" s="88">
        <v>1</v>
      </c>
      <c r="K13" s="42">
        <f>E13*F13+G13+H13</f>
        <v>862512</v>
      </c>
      <c r="L13" s="43">
        <f>K13*I13*J13</f>
        <v>862512</v>
      </c>
      <c r="M13" s="44"/>
    </row>
    <row r="14" spans="1:14" ht="126" x14ac:dyDescent="0.25">
      <c r="A14" s="34"/>
      <c r="B14" s="45" t="s">
        <v>22</v>
      </c>
      <c r="C14" s="46" t="s">
        <v>67</v>
      </c>
      <c r="D14" s="50"/>
      <c r="E14" s="38"/>
      <c r="F14" s="39"/>
      <c r="G14" s="40">
        <f>2*70000000*5+5*55000000*5+4*40000000*5+2*30000000*5</f>
        <v>3175000000</v>
      </c>
      <c r="H14" s="40"/>
      <c r="I14" s="41">
        <v>1</v>
      </c>
      <c r="J14" s="88">
        <v>1</v>
      </c>
      <c r="K14" s="42">
        <f t="shared" ref="K14:K16" si="0">E14*F14+G14+H14</f>
        <v>3175000000</v>
      </c>
      <c r="L14" s="43">
        <f t="shared" ref="L14:L29" si="1">K14*I14*J14</f>
        <v>3175000000</v>
      </c>
      <c r="M14" s="48" t="s">
        <v>118</v>
      </c>
    </row>
    <row r="15" spans="1:14" ht="94.5" x14ac:dyDescent="0.25">
      <c r="A15" s="34"/>
      <c r="B15" s="45" t="s">
        <v>23</v>
      </c>
      <c r="C15" s="46" t="s">
        <v>72</v>
      </c>
      <c r="D15" s="50"/>
      <c r="E15" s="38"/>
      <c r="F15" s="39"/>
      <c r="G15" s="40">
        <f>6*70000000*9+14*55000000*9+8*40000000*9+6*30000000*9</f>
        <v>15210000000</v>
      </c>
      <c r="H15" s="40"/>
      <c r="I15" s="41">
        <v>1</v>
      </c>
      <c r="J15" s="88">
        <v>1</v>
      </c>
      <c r="K15" s="42">
        <f t="shared" si="0"/>
        <v>15210000000</v>
      </c>
      <c r="L15" s="43">
        <f t="shared" si="1"/>
        <v>15210000000</v>
      </c>
      <c r="M15" s="48" t="s">
        <v>117</v>
      </c>
    </row>
    <row r="16" spans="1:14" ht="51.6" customHeight="1" x14ac:dyDescent="0.25">
      <c r="A16" s="34"/>
      <c r="B16" s="45" t="s">
        <v>24</v>
      </c>
      <c r="C16" s="49" t="s">
        <v>114</v>
      </c>
      <c r="D16" s="50"/>
      <c r="E16" s="38"/>
      <c r="F16" s="39"/>
      <c r="G16" s="40">
        <f>3*70000000*6+7*55000000*6+6*40000000*6+2*30000000*6</f>
        <v>5370000000</v>
      </c>
      <c r="H16" s="40"/>
      <c r="I16" s="41">
        <v>1</v>
      </c>
      <c r="J16" s="88">
        <v>1</v>
      </c>
      <c r="K16" s="42">
        <f t="shared" si="0"/>
        <v>5370000000</v>
      </c>
      <c r="L16" s="43">
        <f t="shared" si="1"/>
        <v>5370000000</v>
      </c>
      <c r="M16" s="48" t="s">
        <v>116</v>
      </c>
    </row>
    <row r="17" spans="1:13" ht="51.6" customHeight="1" x14ac:dyDescent="0.25">
      <c r="A17" s="34"/>
      <c r="B17" s="45" t="s">
        <v>98</v>
      </c>
      <c r="C17" s="49" t="s">
        <v>151</v>
      </c>
      <c r="D17" s="50"/>
      <c r="E17" s="38"/>
      <c r="F17" s="39"/>
      <c r="G17" s="40">
        <f>3*70000000*6+7*55000000*6+6*40000000*6+2*30000000*6</f>
        <v>5370000000</v>
      </c>
      <c r="H17" s="40"/>
      <c r="I17" s="41">
        <v>1</v>
      </c>
      <c r="J17" s="88">
        <v>1</v>
      </c>
      <c r="K17" s="42">
        <f t="shared" ref="K17" si="2">E17*F17+G17+H17</f>
        <v>5370000000</v>
      </c>
      <c r="L17" s="43">
        <f t="shared" ref="L17" si="3">K17*I17*J17</f>
        <v>5370000000</v>
      </c>
      <c r="M17" s="48" t="s">
        <v>116</v>
      </c>
    </row>
    <row r="18" spans="1:13" ht="15.75" x14ac:dyDescent="0.25">
      <c r="A18" s="34">
        <v>2</v>
      </c>
      <c r="B18" s="53">
        <v>2</v>
      </c>
      <c r="C18" s="54" t="s">
        <v>26</v>
      </c>
      <c r="D18" s="54" t="s">
        <v>27</v>
      </c>
      <c r="E18" s="55">
        <v>4</v>
      </c>
      <c r="F18" s="39">
        <v>53907</v>
      </c>
      <c r="G18" s="40"/>
      <c r="H18" s="40"/>
      <c r="I18" s="56">
        <v>1</v>
      </c>
      <c r="J18" s="88">
        <v>1</v>
      </c>
      <c r="K18" s="42">
        <f t="shared" ref="K18" si="4">H18+G18+(E18*F18)</f>
        <v>215628</v>
      </c>
      <c r="L18" s="43">
        <f t="shared" si="1"/>
        <v>215628</v>
      </c>
      <c r="M18" s="44"/>
    </row>
    <row r="19" spans="1:13" ht="15.75" x14ac:dyDescent="0.25">
      <c r="A19" s="34"/>
      <c r="B19" s="53"/>
      <c r="C19" s="54"/>
      <c r="D19" s="54" t="s">
        <v>28</v>
      </c>
      <c r="E19" s="55">
        <v>2</v>
      </c>
      <c r="F19" s="39">
        <f>F18</f>
        <v>53907</v>
      </c>
      <c r="G19" s="3"/>
      <c r="H19" s="40">
        <v>0</v>
      </c>
      <c r="I19" s="56">
        <v>1</v>
      </c>
      <c r="J19" s="88">
        <v>1</v>
      </c>
      <c r="K19" s="42">
        <f>H19+(E19*F19)</f>
        <v>107814</v>
      </c>
      <c r="L19" s="43">
        <f t="shared" si="1"/>
        <v>107814</v>
      </c>
      <c r="M19" s="44"/>
    </row>
    <row r="20" spans="1:13" ht="15.75" x14ac:dyDescent="0.25">
      <c r="A20" s="34"/>
      <c r="B20" s="53"/>
      <c r="C20" s="54"/>
      <c r="D20" s="54"/>
      <c r="E20" s="55"/>
      <c r="F20" s="39"/>
      <c r="G20" s="40"/>
      <c r="H20" s="40"/>
      <c r="I20" s="56"/>
      <c r="J20" s="88"/>
      <c r="K20" s="42"/>
      <c r="L20" s="43"/>
      <c r="M20" s="44"/>
    </row>
    <row r="21" spans="1:13" ht="15.75" x14ac:dyDescent="0.25">
      <c r="A21" s="34">
        <v>3</v>
      </c>
      <c r="B21" s="53">
        <v>3</v>
      </c>
      <c r="C21" s="54" t="s">
        <v>30</v>
      </c>
      <c r="D21" s="54"/>
      <c r="E21" s="55"/>
      <c r="F21" s="39"/>
      <c r="G21" s="40"/>
      <c r="H21" s="57"/>
      <c r="I21" s="41"/>
      <c r="J21" s="88"/>
      <c r="K21" s="42"/>
      <c r="L21" s="43">
        <f t="shared" si="1"/>
        <v>0</v>
      </c>
      <c r="M21" s="44"/>
    </row>
    <row r="22" spans="1:13" ht="15.75" x14ac:dyDescent="0.25">
      <c r="A22" s="58">
        <v>3.1</v>
      </c>
      <c r="B22" s="59"/>
      <c r="C22" s="54" t="s">
        <v>32</v>
      </c>
      <c r="D22" s="54"/>
      <c r="E22" s="55">
        <v>0</v>
      </c>
      <c r="F22" s="39">
        <v>0</v>
      </c>
      <c r="G22" s="40">
        <v>0</v>
      </c>
      <c r="H22" s="40">
        <v>0</v>
      </c>
      <c r="I22" s="41">
        <v>0</v>
      </c>
      <c r="J22" s="88">
        <v>0</v>
      </c>
      <c r="K22" s="42"/>
      <c r="L22" s="43">
        <f t="shared" si="1"/>
        <v>0</v>
      </c>
      <c r="M22" s="44"/>
    </row>
    <row r="23" spans="1:13" ht="15.75" x14ac:dyDescent="0.25">
      <c r="A23" s="58">
        <v>3.2</v>
      </c>
      <c r="B23" s="59"/>
      <c r="C23" s="54" t="s">
        <v>31</v>
      </c>
      <c r="D23" s="54"/>
      <c r="E23" s="55"/>
      <c r="F23" s="39"/>
      <c r="G23" s="40"/>
      <c r="H23" s="40">
        <v>7000000</v>
      </c>
      <c r="I23" s="41">
        <v>1</v>
      </c>
      <c r="J23" s="88">
        <v>1</v>
      </c>
      <c r="K23" s="42">
        <f>H23+G23+(E23*F23)</f>
        <v>7000000</v>
      </c>
      <c r="L23" s="43">
        <f t="shared" si="1"/>
        <v>7000000</v>
      </c>
      <c r="M23" s="44"/>
    </row>
    <row r="24" spans="1:13" ht="15.75" x14ac:dyDescent="0.25">
      <c r="A24" s="58"/>
      <c r="B24" s="59"/>
      <c r="C24" s="54" t="s">
        <v>33</v>
      </c>
      <c r="D24" s="54"/>
      <c r="E24" s="55">
        <v>0</v>
      </c>
      <c r="F24" s="39">
        <v>0</v>
      </c>
      <c r="G24" s="40">
        <v>0</v>
      </c>
      <c r="H24" s="40">
        <v>0</v>
      </c>
      <c r="I24" s="41">
        <v>0</v>
      </c>
      <c r="J24" s="88"/>
      <c r="K24" s="42">
        <f t="shared" ref="K24:K27" si="5">H24+G24+(E24*F24)</f>
        <v>0</v>
      </c>
      <c r="L24" s="43">
        <f t="shared" si="1"/>
        <v>0</v>
      </c>
      <c r="M24" s="44"/>
    </row>
    <row r="25" spans="1:13" ht="47.25" x14ac:dyDescent="0.25">
      <c r="A25" s="58"/>
      <c r="B25" s="60">
        <v>4</v>
      </c>
      <c r="C25" s="54" t="s">
        <v>34</v>
      </c>
      <c r="D25" s="54"/>
      <c r="E25" s="55"/>
      <c r="F25" s="39"/>
      <c r="G25" s="40"/>
      <c r="H25" s="40"/>
      <c r="I25" s="41"/>
      <c r="J25" s="88"/>
      <c r="K25" s="42">
        <f t="shared" si="5"/>
        <v>0</v>
      </c>
      <c r="L25" s="43">
        <f t="shared" si="1"/>
        <v>0</v>
      </c>
      <c r="M25" s="44"/>
    </row>
    <row r="26" spans="1:13" ht="63" x14ac:dyDescent="0.25">
      <c r="A26" s="58"/>
      <c r="B26" s="59" t="s">
        <v>35</v>
      </c>
      <c r="C26" s="37" t="s">
        <v>36</v>
      </c>
      <c r="D26" s="54"/>
      <c r="E26" s="55"/>
      <c r="F26" s="39"/>
      <c r="G26" s="40">
        <f>(1*70000000*0.5+1*55000000*0.5+1*40000000*0.5+1*30000000*0.5)*2</f>
        <v>195000000</v>
      </c>
      <c r="H26" s="40"/>
      <c r="I26" s="41">
        <v>1</v>
      </c>
      <c r="J26" s="88">
        <v>1</v>
      </c>
      <c r="K26" s="42">
        <f t="shared" si="5"/>
        <v>195000000</v>
      </c>
      <c r="L26" s="43">
        <f t="shared" si="1"/>
        <v>195000000</v>
      </c>
      <c r="M26" s="48" t="s">
        <v>115</v>
      </c>
    </row>
    <row r="27" spans="1:13" ht="63" x14ac:dyDescent="0.25">
      <c r="A27" s="58"/>
      <c r="B27" s="59" t="s">
        <v>37</v>
      </c>
      <c r="C27" s="37" t="s">
        <v>38</v>
      </c>
      <c r="D27" s="37"/>
      <c r="E27" s="55"/>
      <c r="F27" s="39"/>
      <c r="G27" s="40">
        <f>(4*70000000*6+5*55000000*6+5*40000000*6+4*30000000*6)*2</f>
        <v>10500000000</v>
      </c>
      <c r="H27" s="40"/>
      <c r="I27" s="41">
        <v>1</v>
      </c>
      <c r="J27" s="88">
        <v>1</v>
      </c>
      <c r="K27" s="42">
        <f t="shared" si="5"/>
        <v>10500000000</v>
      </c>
      <c r="L27" s="43">
        <f t="shared" si="1"/>
        <v>10500000000</v>
      </c>
      <c r="M27" s="48" t="s">
        <v>141</v>
      </c>
    </row>
    <row r="28" spans="1:13" ht="15.75" x14ac:dyDescent="0.25">
      <c r="A28" s="58"/>
      <c r="B28" s="60">
        <v>5</v>
      </c>
      <c r="C28" s="54" t="s">
        <v>39</v>
      </c>
      <c r="D28" s="54"/>
      <c r="E28" s="55"/>
      <c r="F28" s="39"/>
      <c r="G28" s="40"/>
      <c r="H28" s="40"/>
      <c r="I28" s="41"/>
      <c r="J28" s="88"/>
      <c r="K28" s="42"/>
      <c r="L28" s="43">
        <f t="shared" si="1"/>
        <v>0</v>
      </c>
      <c r="M28" s="44"/>
    </row>
    <row r="29" spans="1:13" ht="15.75" x14ac:dyDescent="0.25">
      <c r="A29" s="58"/>
      <c r="B29" s="60">
        <v>6</v>
      </c>
      <c r="C29" s="54" t="s">
        <v>40</v>
      </c>
      <c r="D29" s="54" t="s">
        <v>27</v>
      </c>
      <c r="E29" s="55">
        <v>4</v>
      </c>
      <c r="F29" s="39">
        <v>53907</v>
      </c>
      <c r="G29" s="40"/>
      <c r="H29" s="40"/>
      <c r="I29" s="41">
        <v>1</v>
      </c>
      <c r="J29" s="88">
        <v>1</v>
      </c>
      <c r="K29" s="42">
        <f>H29+G29+(E29*F29)</f>
        <v>215628</v>
      </c>
      <c r="L29" s="43">
        <f t="shared" si="1"/>
        <v>215628</v>
      </c>
      <c r="M29" s="44"/>
    </row>
    <row r="30" spans="1:13" ht="15.75" x14ac:dyDescent="0.25">
      <c r="A30" s="58"/>
      <c r="B30" s="59"/>
      <c r="C30" s="54"/>
      <c r="D30" s="54" t="s">
        <v>28</v>
      </c>
      <c r="E30" s="55">
        <v>2</v>
      </c>
      <c r="F30" s="39">
        <v>53907</v>
      </c>
      <c r="G30" s="3"/>
      <c r="H30" s="40"/>
      <c r="I30" s="41">
        <v>1</v>
      </c>
      <c r="J30" s="88">
        <v>1</v>
      </c>
      <c r="K30" s="42">
        <f>H30+(E30*F30)</f>
        <v>107814</v>
      </c>
      <c r="L30" s="43">
        <f>K30*J30*I30</f>
        <v>107814</v>
      </c>
      <c r="M30" s="44"/>
    </row>
    <row r="31" spans="1:13" ht="15.75" x14ac:dyDescent="0.25">
      <c r="A31" s="61">
        <v>4</v>
      </c>
      <c r="B31" s="35"/>
      <c r="C31" s="54"/>
      <c r="D31" s="54"/>
      <c r="E31" s="55"/>
      <c r="F31" s="39"/>
      <c r="G31" s="40"/>
      <c r="H31" s="40"/>
      <c r="I31" s="41"/>
      <c r="J31" s="88"/>
      <c r="K31" s="42"/>
      <c r="L31" s="43"/>
      <c r="M31" s="44"/>
    </row>
    <row r="32" spans="1:13" ht="16.5" thickBot="1" x14ac:dyDescent="0.3">
      <c r="A32" s="62"/>
      <c r="B32" s="63"/>
      <c r="C32" s="165" t="s">
        <v>2</v>
      </c>
      <c r="D32" s="166"/>
      <c r="E32" s="64"/>
      <c r="F32" s="65"/>
      <c r="G32" s="65">
        <f>SUM(G13:G31)</f>
        <v>39820000000</v>
      </c>
      <c r="H32" s="65">
        <f>SUM(H13:H31)</f>
        <v>7000000</v>
      </c>
      <c r="I32" s="66"/>
      <c r="J32" s="93"/>
      <c r="K32" s="67">
        <f>SUM(K13:K31)</f>
        <v>39828509396</v>
      </c>
      <c r="L32" s="68">
        <f>SUM(L13:L31)</f>
        <v>39828509396</v>
      </c>
      <c r="M32" s="69"/>
    </row>
    <row r="36" spans="11:11" x14ac:dyDescent="0.25">
      <c r="K36" s="147"/>
    </row>
    <row r="37" spans="11:11" x14ac:dyDescent="0.25">
      <c r="K37" s="147"/>
    </row>
  </sheetData>
  <mergeCells count="9">
    <mergeCell ref="C8:L8"/>
    <mergeCell ref="C9:L9"/>
    <mergeCell ref="C32:D32"/>
    <mergeCell ref="C1:L1"/>
    <mergeCell ref="C2:L2"/>
    <mergeCell ref="C4:D5"/>
    <mergeCell ref="J4:L5"/>
    <mergeCell ref="C6:L6"/>
    <mergeCell ref="C7:L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Tong hop</vt:lpstr>
      <vt:lpstr>1. SĐ ĐĐ, CTVHT, CDHĐ, NCCT</vt:lpstr>
      <vt:lpstr>2. Phê duyệt Tke</vt:lpstr>
      <vt:lpstr>3. SĐ GPVHT,VH</vt:lpstr>
      <vt:lpstr>4. GH GPVHT, VH</vt:lpstr>
      <vt:lpstr>5. TT VHT-Thaodo-Congnhan</vt:lpstr>
      <vt:lpstr>6. KH dung lo-Chamdut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Diu Nguyen</dc:creator>
  <cp:lastModifiedBy>Admin</cp:lastModifiedBy>
  <dcterms:created xsi:type="dcterms:W3CDTF">2026-05-14T07:11:35Z</dcterms:created>
  <dcterms:modified xsi:type="dcterms:W3CDTF">2026-06-17T03:09:35Z</dcterms:modified>
</cp:coreProperties>
</file>